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545" activeTab="2"/>
  </bookViews>
  <sheets>
    <sheet name="Planilha Orçamentaria (2)" sheetId="4" r:id="rId1"/>
    <sheet name="Memoria de Calculo" sheetId="1" r:id="rId2"/>
    <sheet name="Cronograma" sheetId="2" r:id="rId3"/>
    <sheet name="BDI" sheetId="3" r:id="rId4"/>
    <sheet name="Composição" sheetId="6" r:id="rId5"/>
  </sheets>
  <definedNames>
    <definedName name="_xlnm.Print_Area" localSheetId="2">Cronograma!$A$1:$P$42</definedName>
    <definedName name="_xlnm.Print_Area" localSheetId="1">'Memoria de Calculo'!$A$1:$J$137</definedName>
    <definedName name="_xlnm.Print_Area" localSheetId="0">'Planilha Orçamentaria (2)'!$A$1:$J$166</definedName>
    <definedName name="_xlnm.Print_Titles" localSheetId="1">'Memoria de Calculo'!$2:$7</definedName>
    <definedName name="_xlnm.Print_Titles" localSheetId="0">'Planilha Orçamentaria (2)'!$2:$6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8" i="4" l="1"/>
  <c r="F72" i="1" l="1"/>
  <c r="F129" i="1"/>
  <c r="J76" i="4"/>
  <c r="M76" i="4"/>
  <c r="J138" i="4"/>
  <c r="L138" i="4"/>
  <c r="C138" i="4"/>
  <c r="D138" i="4"/>
  <c r="B138" i="4" l="1"/>
  <c r="G138" i="4"/>
  <c r="L54" i="4"/>
  <c r="J137" i="4"/>
  <c r="L137" i="4"/>
  <c r="J135" i="4"/>
  <c r="L135" i="4"/>
  <c r="J115" i="4"/>
  <c r="L115" i="4"/>
  <c r="J105" i="4"/>
  <c r="L105" i="4"/>
  <c r="J99" i="4"/>
  <c r="L99" i="4"/>
  <c r="J98" i="4"/>
  <c r="L98" i="4"/>
  <c r="J96" i="4"/>
  <c r="L96" i="4"/>
  <c r="J78" i="4"/>
  <c r="J71" i="4"/>
  <c r="J66" i="4"/>
  <c r="J57" i="4"/>
  <c r="J65" i="4"/>
  <c r="L78" i="4"/>
  <c r="L71" i="4"/>
  <c r="L66" i="4"/>
  <c r="L57" i="4"/>
  <c r="L65" i="4"/>
  <c r="G105" i="4"/>
  <c r="O26" i="2"/>
  <c r="O24" i="2"/>
  <c r="O22" i="2"/>
  <c r="O20" i="2"/>
  <c r="O18" i="2"/>
  <c r="O16" i="2"/>
  <c r="O14" i="2"/>
  <c r="O12" i="2"/>
  <c r="O10" i="2"/>
  <c r="G142" i="4"/>
  <c r="F142" i="4"/>
  <c r="C142" i="4"/>
  <c r="E142" i="4"/>
  <c r="E140" i="4"/>
  <c r="C82" i="4"/>
  <c r="D82" i="4"/>
  <c r="E82" i="4"/>
  <c r="F82" i="4"/>
  <c r="G82" i="4"/>
  <c r="B26" i="2" l="1"/>
  <c r="E161" i="4"/>
  <c r="D4" i="1"/>
  <c r="D3" i="1"/>
  <c r="B28" i="4"/>
  <c r="D5" i="2"/>
  <c r="D4" i="2"/>
  <c r="C2" i="3" s="1"/>
  <c r="D3" i="2"/>
  <c r="C1" i="3" s="1"/>
  <c r="E153" i="4"/>
  <c r="B10" i="2"/>
  <c r="F46" i="4"/>
  <c r="G41" i="4"/>
  <c r="G42" i="4"/>
  <c r="G43" i="4"/>
  <c r="G44" i="4"/>
  <c r="G40" i="4"/>
  <c r="B43" i="4"/>
  <c r="B44" i="4"/>
  <c r="B45" i="4"/>
  <c r="B46" i="4"/>
  <c r="C43" i="4"/>
  <c r="E43" i="4"/>
  <c r="F43" i="4"/>
  <c r="C44" i="4"/>
  <c r="E44" i="4"/>
  <c r="F44" i="4"/>
  <c r="E45" i="4"/>
  <c r="F45" i="4"/>
  <c r="E42" i="4"/>
  <c r="F42" i="4"/>
  <c r="C41" i="4"/>
  <c r="C42" i="4"/>
  <c r="C40" i="4"/>
  <c r="F41" i="4"/>
  <c r="E41" i="4"/>
  <c r="B40" i="4"/>
  <c r="B41" i="4"/>
  <c r="B42" i="4"/>
  <c r="E40" i="4"/>
  <c r="F40" i="4"/>
  <c r="B38" i="4"/>
  <c r="E38" i="4"/>
  <c r="B14" i="2" s="1"/>
  <c r="B31" i="4"/>
  <c r="C31" i="4"/>
  <c r="E31" i="4"/>
  <c r="F31" i="4"/>
  <c r="G31" i="4"/>
  <c r="B32" i="4"/>
  <c r="C32" i="4"/>
  <c r="E32" i="4"/>
  <c r="F32" i="4"/>
  <c r="G32" i="4"/>
  <c r="B33" i="4"/>
  <c r="C33" i="4"/>
  <c r="E33" i="4"/>
  <c r="F33" i="4"/>
  <c r="G33" i="4"/>
  <c r="B34" i="4"/>
  <c r="C34" i="4"/>
  <c r="E34" i="4"/>
  <c r="F34" i="4"/>
  <c r="G34" i="4"/>
  <c r="B35" i="4"/>
  <c r="C35" i="4"/>
  <c r="E35" i="4"/>
  <c r="F35" i="4"/>
  <c r="G35" i="4"/>
  <c r="B25" i="4"/>
  <c r="C25" i="4"/>
  <c r="E25" i="4"/>
  <c r="F25" i="4"/>
  <c r="G25" i="4"/>
  <c r="B26" i="4"/>
  <c r="C26" i="4"/>
  <c r="E26" i="4"/>
  <c r="F26" i="4"/>
  <c r="G26" i="4"/>
  <c r="B27" i="4"/>
  <c r="C27" i="4"/>
  <c r="E27" i="4"/>
  <c r="F27" i="4"/>
  <c r="G27" i="4"/>
  <c r="C28" i="4"/>
  <c r="E28" i="4"/>
  <c r="F28" i="4"/>
  <c r="G28" i="4"/>
  <c r="B29" i="4"/>
  <c r="C29" i="4"/>
  <c r="E29" i="4"/>
  <c r="F29" i="4"/>
  <c r="G29" i="4"/>
  <c r="B30" i="4"/>
  <c r="C30" i="4"/>
  <c r="E30" i="4"/>
  <c r="F30" i="4"/>
  <c r="G30" i="4"/>
  <c r="B24" i="4"/>
  <c r="C24" i="4"/>
  <c r="E24" i="4"/>
  <c r="F24" i="4"/>
  <c r="G24" i="4"/>
  <c r="E155" i="4" l="1"/>
  <c r="B22" i="4"/>
  <c r="C22" i="4"/>
  <c r="E22" i="4"/>
  <c r="F22" i="4"/>
  <c r="G22" i="4"/>
  <c r="B23" i="4"/>
  <c r="C23" i="4"/>
  <c r="E23" i="4"/>
  <c r="F23" i="4"/>
  <c r="G23" i="4"/>
  <c r="F20" i="4"/>
  <c r="F21" i="4"/>
  <c r="B21" i="4"/>
  <c r="C21" i="4"/>
  <c r="E21" i="4"/>
  <c r="G21" i="4"/>
  <c r="B20" i="4"/>
  <c r="C20" i="4"/>
  <c r="E20" i="4"/>
  <c r="G20" i="4"/>
  <c r="G19" i="4"/>
  <c r="F19" i="4"/>
  <c r="E19" i="4"/>
  <c r="B19" i="4"/>
  <c r="C19" i="4"/>
  <c r="B135" i="4"/>
  <c r="B136" i="4"/>
  <c r="B137" i="4"/>
  <c r="B134" i="4"/>
  <c r="C135" i="4"/>
  <c r="D135" i="4"/>
  <c r="E135" i="4"/>
  <c r="G135" i="4"/>
  <c r="F126" i="1"/>
  <c r="F135" i="4" s="1"/>
  <c r="F125" i="1"/>
  <c r="F134" i="4" s="1"/>
  <c r="D134" i="4"/>
  <c r="C134" i="4"/>
  <c r="G134" i="4"/>
  <c r="E134" i="4"/>
  <c r="D137" i="4"/>
  <c r="C137" i="4"/>
  <c r="G137" i="4"/>
  <c r="G136" i="4"/>
  <c r="F136" i="4"/>
  <c r="E136" i="4"/>
  <c r="E137" i="4"/>
  <c r="E132" i="4"/>
  <c r="F128" i="1"/>
  <c r="F137" i="4" s="1"/>
  <c r="F60" i="1"/>
  <c r="B130" i="4"/>
  <c r="C130" i="4"/>
  <c r="D130" i="4"/>
  <c r="E130" i="4"/>
  <c r="G130" i="4"/>
  <c r="F121" i="1"/>
  <c r="F130" i="4" s="1"/>
  <c r="F120" i="1"/>
  <c r="F129" i="4" s="1"/>
  <c r="B125" i="4"/>
  <c r="C125" i="4"/>
  <c r="D125" i="4"/>
  <c r="E125" i="4"/>
  <c r="F125" i="4"/>
  <c r="G125" i="4"/>
  <c r="B126" i="4"/>
  <c r="C126" i="4"/>
  <c r="D126" i="4"/>
  <c r="E126" i="4"/>
  <c r="G126" i="4"/>
  <c r="B127" i="4"/>
  <c r="C127" i="4"/>
  <c r="D127" i="4"/>
  <c r="E127" i="4"/>
  <c r="G127" i="4"/>
  <c r="B128" i="4"/>
  <c r="C128" i="4"/>
  <c r="D128" i="4"/>
  <c r="E128" i="4"/>
  <c r="G128" i="4"/>
  <c r="B129" i="4"/>
  <c r="C129" i="4"/>
  <c r="D129" i="4"/>
  <c r="E129" i="4"/>
  <c r="G129" i="4"/>
  <c r="F119" i="1"/>
  <c r="F128" i="4" s="1"/>
  <c r="F118" i="1"/>
  <c r="F127" i="4" s="1"/>
  <c r="B124" i="4"/>
  <c r="C124" i="4"/>
  <c r="D124" i="4"/>
  <c r="E124" i="4"/>
  <c r="F124" i="4"/>
  <c r="G124" i="4"/>
  <c r="F113" i="1"/>
  <c r="F122" i="4" s="1"/>
  <c r="F117" i="1"/>
  <c r="F126" i="4" s="1"/>
  <c r="B123" i="4"/>
  <c r="C123" i="4"/>
  <c r="D123" i="4"/>
  <c r="E123" i="4"/>
  <c r="F123" i="4"/>
  <c r="G123" i="4"/>
  <c r="F109" i="1"/>
  <c r="F118" i="4" s="1"/>
  <c r="B118" i="4"/>
  <c r="C118" i="4"/>
  <c r="D118" i="4"/>
  <c r="E118" i="4"/>
  <c r="G118" i="4"/>
  <c r="D122" i="4"/>
  <c r="D121" i="4"/>
  <c r="D120" i="4"/>
  <c r="D119" i="4"/>
  <c r="B121" i="4"/>
  <c r="C121" i="4"/>
  <c r="E121" i="4"/>
  <c r="F121" i="4"/>
  <c r="G121" i="4"/>
  <c r="B120" i="4"/>
  <c r="C120" i="4"/>
  <c r="E120" i="4"/>
  <c r="G120" i="4"/>
  <c r="F111" i="1"/>
  <c r="F120" i="4" s="1"/>
  <c r="F107" i="1"/>
  <c r="F116" i="4" s="1"/>
  <c r="F108" i="1"/>
  <c r="F117" i="4" s="1"/>
  <c r="F106" i="1"/>
  <c r="F115" i="4" s="1"/>
  <c r="B119" i="4"/>
  <c r="C119" i="4"/>
  <c r="E119" i="4"/>
  <c r="F119" i="4"/>
  <c r="G119" i="4"/>
  <c r="B122" i="4"/>
  <c r="C122" i="4"/>
  <c r="E122" i="4"/>
  <c r="G122" i="4"/>
  <c r="F16" i="6"/>
  <c r="F15" i="6"/>
  <c r="F12" i="6"/>
  <c r="F6" i="6"/>
  <c r="F5" i="6"/>
  <c r="F9" i="6" s="1"/>
  <c r="B117" i="4"/>
  <c r="E117" i="4"/>
  <c r="G117" i="4"/>
  <c r="B115" i="4"/>
  <c r="B116" i="4"/>
  <c r="E115" i="4"/>
  <c r="G115" i="4"/>
  <c r="E116" i="4"/>
  <c r="G116" i="4"/>
  <c r="F113" i="4"/>
  <c r="G114" i="4"/>
  <c r="G113" i="4"/>
  <c r="B114" i="4"/>
  <c r="B113" i="4"/>
  <c r="D114" i="4"/>
  <c r="D113" i="4"/>
  <c r="C114" i="4"/>
  <c r="C113" i="4"/>
  <c r="E114" i="4"/>
  <c r="E113" i="4"/>
  <c r="F105" i="1"/>
  <c r="F114" i="4" s="1"/>
  <c r="C83" i="4"/>
  <c r="D83" i="4"/>
  <c r="E83" i="4"/>
  <c r="G83" i="4"/>
  <c r="F79" i="1"/>
  <c r="F83" i="4" s="1"/>
  <c r="E111" i="4"/>
  <c r="B111" i="4"/>
  <c r="B105" i="4"/>
  <c r="B106" i="4"/>
  <c r="B107" i="4"/>
  <c r="B104" i="4"/>
  <c r="B95" i="4"/>
  <c r="B96" i="4"/>
  <c r="B97" i="4"/>
  <c r="B98" i="4"/>
  <c r="B99" i="4"/>
  <c r="B100" i="4"/>
  <c r="B101" i="4"/>
  <c r="B94" i="4"/>
  <c r="B93" i="4"/>
  <c r="B75" i="4"/>
  <c r="F100" i="1"/>
  <c r="F107" i="4" s="1"/>
  <c r="C107" i="4"/>
  <c r="D107" i="4"/>
  <c r="E107" i="4"/>
  <c r="G107" i="4"/>
  <c r="B24" i="2" l="1"/>
  <c r="E160" i="4"/>
  <c r="E159" i="4"/>
  <c r="B22" i="2"/>
  <c r="F17" i="6"/>
  <c r="F19" i="6" s="1"/>
  <c r="C101" i="4"/>
  <c r="D101" i="4"/>
  <c r="G101" i="4"/>
  <c r="E101" i="4"/>
  <c r="F95" i="1"/>
  <c r="F101" i="4" s="1"/>
  <c r="E69" i="4"/>
  <c r="G70" i="4"/>
  <c r="G71" i="4"/>
  <c r="G72" i="4"/>
  <c r="G69" i="4"/>
  <c r="E70" i="4"/>
  <c r="E71" i="4"/>
  <c r="E72" i="4"/>
  <c r="E68" i="4"/>
  <c r="F70" i="1"/>
  <c r="F72" i="4" s="1"/>
  <c r="F69" i="1"/>
  <c r="F71" i="4" s="1"/>
  <c r="F68" i="1"/>
  <c r="F70" i="4" s="1"/>
  <c r="F67" i="1"/>
  <c r="F69" i="4" s="1"/>
  <c r="H115" i="4" l="1"/>
  <c r="H71" i="4"/>
  <c r="G106" i="4"/>
  <c r="C106" i="4"/>
  <c r="D106" i="4"/>
  <c r="D105" i="4"/>
  <c r="C105" i="4"/>
  <c r="E105" i="4"/>
  <c r="E106" i="4"/>
  <c r="E104" i="4"/>
  <c r="F99" i="1"/>
  <c r="F106" i="4" s="1"/>
  <c r="F98" i="1"/>
  <c r="F105" i="4" s="1"/>
  <c r="C99" i="4"/>
  <c r="D99" i="4"/>
  <c r="E99" i="4"/>
  <c r="G99" i="4"/>
  <c r="C100" i="4"/>
  <c r="D100" i="4"/>
  <c r="E100" i="4"/>
  <c r="G100" i="4"/>
  <c r="F94" i="1"/>
  <c r="F100" i="4" s="1"/>
  <c r="F93" i="1"/>
  <c r="F99" i="4" s="1"/>
  <c r="E96" i="4"/>
  <c r="G96" i="4"/>
  <c r="F90" i="1"/>
  <c r="F96" i="4" s="1"/>
  <c r="G95" i="4"/>
  <c r="D96" i="4"/>
  <c r="C96" i="4"/>
  <c r="D95" i="4"/>
  <c r="C95" i="4"/>
  <c r="E95" i="4"/>
  <c r="F89" i="1"/>
  <c r="F95" i="4" s="1"/>
  <c r="C98" i="4"/>
  <c r="D98" i="4"/>
  <c r="E98" i="4"/>
  <c r="G98" i="4"/>
  <c r="F92" i="1"/>
  <c r="F98" i="4" s="1"/>
  <c r="D97" i="4"/>
  <c r="C97" i="4"/>
  <c r="G97" i="4"/>
  <c r="E97" i="4"/>
  <c r="E94" i="4"/>
  <c r="E93" i="4"/>
  <c r="F84" i="1"/>
  <c r="F88" i="4" s="1"/>
  <c r="F91" i="1"/>
  <c r="F97" i="4" s="1"/>
  <c r="C89" i="4"/>
  <c r="D89" i="4"/>
  <c r="D88" i="4"/>
  <c r="C88" i="4"/>
  <c r="G89" i="4"/>
  <c r="F89" i="4"/>
  <c r="G88" i="4"/>
  <c r="E88" i="4"/>
  <c r="E89" i="4"/>
  <c r="E86" i="4"/>
  <c r="H84" i="4"/>
  <c r="C81" i="4"/>
  <c r="E84" i="4"/>
  <c r="F84" i="4"/>
  <c r="G84" i="4"/>
  <c r="F76" i="1"/>
  <c r="F80" i="4" s="1"/>
  <c r="D81" i="4"/>
  <c r="C80" i="4"/>
  <c r="D80" i="4"/>
  <c r="E81" i="4"/>
  <c r="G81" i="4"/>
  <c r="F77" i="1"/>
  <c r="F81" i="4" s="1"/>
  <c r="G80" i="4"/>
  <c r="E80" i="4"/>
  <c r="F75" i="1"/>
  <c r="F79" i="4" s="1"/>
  <c r="F74" i="1"/>
  <c r="F78" i="4" s="1"/>
  <c r="G79" i="4"/>
  <c r="G78" i="4"/>
  <c r="E79" i="4"/>
  <c r="E78" i="4"/>
  <c r="G77" i="4"/>
  <c r="F73" i="1"/>
  <c r="F77" i="4" s="1"/>
  <c r="G76" i="4"/>
  <c r="E76" i="4"/>
  <c r="E77" i="4"/>
  <c r="E75" i="4"/>
  <c r="B66" i="4"/>
  <c r="B65" i="4"/>
  <c r="G66" i="4"/>
  <c r="G65" i="4"/>
  <c r="E64" i="4"/>
  <c r="E65" i="4"/>
  <c r="E66" i="4"/>
  <c r="F64" i="1"/>
  <c r="F65" i="4" s="1"/>
  <c r="F65" i="1"/>
  <c r="F66" i="4" s="1"/>
  <c r="E63" i="4"/>
  <c r="E158" i="4" l="1"/>
  <c r="B20" i="2"/>
  <c r="B18" i="2"/>
  <c r="E157" i="4"/>
  <c r="H58" i="4"/>
  <c r="G58" i="4"/>
  <c r="G59" i="4"/>
  <c r="G60" i="4"/>
  <c r="F59" i="1"/>
  <c r="F60" i="4" s="1"/>
  <c r="F58" i="1"/>
  <c r="F59" i="4" s="1"/>
  <c r="B56" i="4"/>
  <c r="B57" i="4"/>
  <c r="B58" i="4"/>
  <c r="F57" i="1"/>
  <c r="F58" i="4" s="1"/>
  <c r="E56" i="4"/>
  <c r="G56" i="4"/>
  <c r="E57" i="4"/>
  <c r="G57" i="4"/>
  <c r="E58" i="4"/>
  <c r="F55" i="1"/>
  <c r="F56" i="4" s="1"/>
  <c r="E59" i="4"/>
  <c r="B59" i="4"/>
  <c r="B60" i="4"/>
  <c r="E60" i="4"/>
  <c r="F56" i="1"/>
  <c r="F57" i="4" s="1"/>
  <c r="B54" i="4"/>
  <c r="C54" i="4"/>
  <c r="E54" i="4"/>
  <c r="F54" i="4"/>
  <c r="G54" i="4"/>
  <c r="B55" i="4"/>
  <c r="C55" i="4"/>
  <c r="E55" i="4"/>
  <c r="F55" i="4"/>
  <c r="G55" i="4"/>
  <c r="F52" i="1"/>
  <c r="F53" i="4" s="1"/>
  <c r="B53" i="4"/>
  <c r="C53" i="4"/>
  <c r="E53" i="4"/>
  <c r="G53" i="4"/>
  <c r="E51" i="4"/>
  <c r="C52" i="4" l="1"/>
  <c r="C51" i="4"/>
  <c r="G52" i="4"/>
  <c r="G51" i="4"/>
  <c r="F51" i="4"/>
  <c r="B52" i="4"/>
  <c r="E52" i="4"/>
  <c r="B49" i="4"/>
  <c r="E49" i="4"/>
  <c r="B51" i="4"/>
  <c r="E17" i="4"/>
  <c r="B17" i="4"/>
  <c r="F51" i="1"/>
  <c r="F52" i="4" s="1"/>
  <c r="E154" i="4" l="1"/>
  <c r="B12" i="2"/>
  <c r="E156" i="4"/>
  <c r="B16" i="2"/>
  <c r="F15" i="1"/>
  <c r="F14" i="4" s="1"/>
  <c r="C14" i="4"/>
  <c r="E14" i="4"/>
  <c r="G14" i="4"/>
  <c r="C10" i="4"/>
  <c r="C11" i="4"/>
  <c r="C12" i="4"/>
  <c r="C13" i="4"/>
  <c r="C9" i="4"/>
  <c r="E12" i="4"/>
  <c r="G12" i="4"/>
  <c r="E13" i="4"/>
  <c r="G13" i="4"/>
  <c r="F14" i="1"/>
  <c r="F13" i="4" s="1"/>
  <c r="F12" i="1"/>
  <c r="F12" i="4" s="1"/>
  <c r="F11" i="1"/>
  <c r="F11" i="4" s="1"/>
  <c r="G11" i="4"/>
  <c r="E11" i="4"/>
  <c r="G10" i="4"/>
  <c r="F10" i="1"/>
  <c r="F10" i="4" s="1"/>
  <c r="I6" i="3" l="1"/>
  <c r="A20" i="3"/>
  <c r="A17" i="3"/>
  <c r="G5" i="4" l="1"/>
  <c r="I138" i="4" s="1"/>
  <c r="G5" i="1"/>
  <c r="I142" i="4" l="1"/>
  <c r="J142" i="4" s="1"/>
  <c r="J143" i="4" s="1"/>
  <c r="E27" i="2" s="1"/>
  <c r="I54" i="4"/>
  <c r="J54" i="4" s="1"/>
  <c r="I46" i="4"/>
  <c r="J46" i="4" s="1"/>
  <c r="I82" i="4"/>
  <c r="J82" i="4" s="1"/>
  <c r="I43" i="4"/>
  <c r="J43" i="4" s="1"/>
  <c r="I44" i="4"/>
  <c r="J44" i="4" s="1"/>
  <c r="I45" i="4"/>
  <c r="J45" i="4" s="1"/>
  <c r="I42" i="4"/>
  <c r="J42" i="4" s="1"/>
  <c r="I40" i="4"/>
  <c r="J40" i="4" s="1"/>
  <c r="I41" i="4"/>
  <c r="J41" i="4" s="1"/>
  <c r="I31" i="4"/>
  <c r="J31" i="4" s="1"/>
  <c r="I33" i="4"/>
  <c r="J33" i="4" s="1"/>
  <c r="I35" i="4"/>
  <c r="J35" i="4" s="1"/>
  <c r="I32" i="4"/>
  <c r="J32" i="4" s="1"/>
  <c r="I34" i="4"/>
  <c r="J34" i="4" s="1"/>
  <c r="I25" i="4"/>
  <c r="J25" i="4" s="1"/>
  <c r="I27" i="4"/>
  <c r="J27" i="4" s="1"/>
  <c r="I29" i="4"/>
  <c r="J29" i="4" s="1"/>
  <c r="I24" i="4"/>
  <c r="J24" i="4" s="1"/>
  <c r="I26" i="4"/>
  <c r="J26" i="4" s="1"/>
  <c r="I28" i="4"/>
  <c r="J28" i="4" s="1"/>
  <c r="I30" i="4"/>
  <c r="J30" i="4" s="1"/>
  <c r="I22" i="4"/>
  <c r="J22" i="4" s="1"/>
  <c r="I135" i="4"/>
  <c r="I20" i="4"/>
  <c r="J20" i="4" s="1"/>
  <c r="I19" i="4"/>
  <c r="J19" i="4" s="1"/>
  <c r="I21" i="4"/>
  <c r="J21" i="4" s="1"/>
  <c r="I23" i="4"/>
  <c r="J23" i="4" s="1"/>
  <c r="I130" i="4"/>
  <c r="J130" i="4" s="1"/>
  <c r="I134" i="4"/>
  <c r="J134" i="4" s="1"/>
  <c r="J139" i="4" s="1"/>
  <c r="I136" i="4"/>
  <c r="J136" i="4" s="1"/>
  <c r="I137" i="4"/>
  <c r="I129" i="4"/>
  <c r="J129" i="4" s="1"/>
  <c r="I124" i="4"/>
  <c r="J124" i="4" s="1"/>
  <c r="I128" i="4"/>
  <c r="J128" i="4" s="1"/>
  <c r="I123" i="4"/>
  <c r="J123" i="4" s="1"/>
  <c r="I125" i="4"/>
  <c r="J125" i="4" s="1"/>
  <c r="I126" i="4"/>
  <c r="J126" i="4" s="1"/>
  <c r="I127" i="4"/>
  <c r="J127" i="4" s="1"/>
  <c r="I121" i="4"/>
  <c r="J121" i="4" s="1"/>
  <c r="I118" i="4"/>
  <c r="J118" i="4" s="1"/>
  <c r="I119" i="4"/>
  <c r="J119" i="4" s="1"/>
  <c r="I120" i="4"/>
  <c r="J120" i="4" s="1"/>
  <c r="I117" i="4"/>
  <c r="J117" i="4" s="1"/>
  <c r="I122" i="4"/>
  <c r="J122" i="4" s="1"/>
  <c r="I116" i="4"/>
  <c r="J116" i="4" s="1"/>
  <c r="I115" i="4"/>
  <c r="I113" i="4"/>
  <c r="J113" i="4" s="1"/>
  <c r="I114" i="4"/>
  <c r="J114" i="4" s="1"/>
  <c r="I83" i="4"/>
  <c r="J83" i="4" s="1"/>
  <c r="I107" i="4"/>
  <c r="J107" i="4" s="1"/>
  <c r="I101" i="4"/>
  <c r="J101" i="4" s="1"/>
  <c r="I69" i="4"/>
  <c r="J69" i="4" s="1"/>
  <c r="I70" i="4"/>
  <c r="J70" i="4" s="1"/>
  <c r="I71" i="4"/>
  <c r="I72" i="4"/>
  <c r="J72" i="4" s="1"/>
  <c r="I105" i="4"/>
  <c r="I106" i="4"/>
  <c r="J106" i="4" s="1"/>
  <c r="I100" i="4"/>
  <c r="J100" i="4" s="1"/>
  <c r="I99" i="4"/>
  <c r="I96" i="4"/>
  <c r="I95" i="4"/>
  <c r="J95" i="4" s="1"/>
  <c r="I97" i="4"/>
  <c r="J97" i="4" s="1"/>
  <c r="I98" i="4"/>
  <c r="I88" i="4"/>
  <c r="J88" i="4" s="1"/>
  <c r="I89" i="4"/>
  <c r="J89" i="4" s="1"/>
  <c r="I80" i="4"/>
  <c r="J80" i="4" s="1"/>
  <c r="I78" i="4"/>
  <c r="I77" i="4"/>
  <c r="J77" i="4" s="1"/>
  <c r="I81" i="4"/>
  <c r="J81" i="4" s="1"/>
  <c r="I79" i="4"/>
  <c r="J79" i="4" s="1"/>
  <c r="I76" i="4"/>
  <c r="I84" i="4"/>
  <c r="J84" i="4" s="1"/>
  <c r="I66" i="4"/>
  <c r="I65" i="4"/>
  <c r="J67" i="4" s="1"/>
  <c r="I56" i="4"/>
  <c r="J56" i="4" s="1"/>
  <c r="I57" i="4"/>
  <c r="I59" i="4"/>
  <c r="J59" i="4" s="1"/>
  <c r="I55" i="4"/>
  <c r="J55" i="4" s="1"/>
  <c r="I58" i="4"/>
  <c r="J58" i="4" s="1"/>
  <c r="I60" i="4"/>
  <c r="J60" i="4" s="1"/>
  <c r="I53" i="4"/>
  <c r="J53" i="4" s="1"/>
  <c r="I12" i="4"/>
  <c r="J12" i="4" s="1"/>
  <c r="I14" i="4"/>
  <c r="J14" i="4" s="1"/>
  <c r="I52" i="4"/>
  <c r="J52" i="4" s="1"/>
  <c r="I13" i="4"/>
  <c r="J13" i="4" s="1"/>
  <c r="I10" i="4"/>
  <c r="J10" i="4" s="1"/>
  <c r="I11" i="4"/>
  <c r="J11" i="4" s="1"/>
  <c r="I51" i="4"/>
  <c r="J51" i="4" s="1"/>
  <c r="I9" i="4"/>
  <c r="J9" i="4" s="1"/>
  <c r="J161" i="4" l="1"/>
  <c r="J15" i="4"/>
  <c r="J61" i="4"/>
  <c r="J108" i="4"/>
  <c r="J102" i="4"/>
  <c r="J131" i="4"/>
  <c r="M27" i="2"/>
  <c r="N27" i="2"/>
  <c r="L27" i="2"/>
  <c r="K27" i="2"/>
  <c r="E11" i="2"/>
  <c r="M11" i="2" s="1"/>
  <c r="J153" i="4"/>
  <c r="J156" i="4"/>
  <c r="E17" i="2"/>
  <c r="M17" i="2" s="1"/>
  <c r="J85" i="4"/>
  <c r="J90" i="4"/>
  <c r="J109" i="4"/>
  <c r="J73" i="4"/>
  <c r="J36" i="4"/>
  <c r="J47" i="4"/>
  <c r="K11" i="2"/>
  <c r="H11" i="2" l="1"/>
  <c r="J11" i="2"/>
  <c r="J17" i="2"/>
  <c r="G11" i="2"/>
  <c r="I11" i="2"/>
  <c r="F17" i="2"/>
  <c r="I17" i="2"/>
  <c r="K17" i="2"/>
  <c r="G17" i="2"/>
  <c r="H17" i="2"/>
  <c r="N17" i="2"/>
  <c r="L17" i="2"/>
  <c r="O17" i="2" s="1"/>
  <c r="F11" i="2"/>
  <c r="N11" i="2"/>
  <c r="L11" i="2"/>
  <c r="J155" i="4"/>
  <c r="E15" i="2"/>
  <c r="M15" i="2" s="1"/>
  <c r="J154" i="4"/>
  <c r="E13" i="2"/>
  <c r="M13" i="2" s="1"/>
  <c r="E25" i="2"/>
  <c r="M25" i="2" s="1"/>
  <c r="J160" i="4"/>
  <c r="J159" i="4"/>
  <c r="E23" i="2"/>
  <c r="M23" i="2" s="1"/>
  <c r="E21" i="2"/>
  <c r="M21" i="2" s="1"/>
  <c r="J158" i="4"/>
  <c r="J91" i="4"/>
  <c r="I145" i="4" s="1"/>
  <c r="K138" i="4" s="1"/>
  <c r="J21" i="2" l="1"/>
  <c r="K21" i="2"/>
  <c r="K142" i="4"/>
  <c r="L147" i="4"/>
  <c r="L76" i="4" s="1"/>
  <c r="O11" i="2"/>
  <c r="N21" i="2"/>
  <c r="L21" i="2"/>
  <c r="N23" i="2"/>
  <c r="L23" i="2"/>
  <c r="N25" i="2"/>
  <c r="L25" i="2"/>
  <c r="N13" i="2"/>
  <c r="L13" i="2"/>
  <c r="N15" i="2"/>
  <c r="L15" i="2"/>
  <c r="J27" i="2"/>
  <c r="I27" i="2"/>
  <c r="J157" i="4"/>
  <c r="I164" i="4" s="1"/>
  <c r="E19" i="2"/>
  <c r="I21" i="2"/>
  <c r="J23" i="2"/>
  <c r="K23" i="2"/>
  <c r="I23" i="2"/>
  <c r="K25" i="2"/>
  <c r="J25" i="2"/>
  <c r="I25" i="2"/>
  <c r="I13" i="2"/>
  <c r="G13" i="2"/>
  <c r="H13" i="2"/>
  <c r="F13" i="2"/>
  <c r="K13" i="2"/>
  <c r="J13" i="2"/>
  <c r="I15" i="2"/>
  <c r="H15" i="2"/>
  <c r="J15" i="2"/>
  <c r="K15" i="2"/>
  <c r="G15" i="2"/>
  <c r="F15" i="2"/>
  <c r="O27" i="2" l="1"/>
  <c r="O15" i="2"/>
  <c r="O13" i="2"/>
  <c r="O25" i="2"/>
  <c r="O23" i="2"/>
  <c r="L19" i="2"/>
  <c r="M19" i="2"/>
  <c r="M29" i="2" s="1"/>
  <c r="O21" i="2"/>
  <c r="E29" i="2"/>
  <c r="E22" i="2" s="1"/>
  <c r="N19" i="2"/>
  <c r="L29" i="2"/>
  <c r="N29" i="2"/>
  <c r="E20" i="2"/>
  <c r="K82" i="4"/>
  <c r="K39" i="4"/>
  <c r="K63" i="4"/>
  <c r="K75" i="4"/>
  <c r="K92" i="4"/>
  <c r="K104" i="4"/>
  <c r="K112" i="4"/>
  <c r="K132" i="4"/>
  <c r="K62" i="4"/>
  <c r="K74" i="4"/>
  <c r="K87" i="4"/>
  <c r="K103" i="4"/>
  <c r="K16" i="4"/>
  <c r="K48" i="4"/>
  <c r="K64" i="4"/>
  <c r="K68" i="4"/>
  <c r="K93" i="4"/>
  <c r="K133" i="4"/>
  <c r="K18" i="4"/>
  <c r="K17" i="4"/>
  <c r="K37" i="4"/>
  <c r="K49" i="4"/>
  <c r="K86" i="4"/>
  <c r="K94" i="4"/>
  <c r="K110" i="4"/>
  <c r="K9" i="4"/>
  <c r="K38" i="4"/>
  <c r="K50" i="4"/>
  <c r="K111" i="4"/>
  <c r="K54" i="4"/>
  <c r="K46" i="4"/>
  <c r="K12" i="4"/>
  <c r="K97" i="4"/>
  <c r="K136" i="4"/>
  <c r="K53" i="4"/>
  <c r="K95" i="4"/>
  <c r="K116" i="4"/>
  <c r="K134" i="4"/>
  <c r="K32" i="4"/>
  <c r="K52" i="4"/>
  <c r="K77" i="4"/>
  <c r="K69" i="4"/>
  <c r="K125" i="4"/>
  <c r="K28" i="4"/>
  <c r="K43" i="4"/>
  <c r="K120" i="4"/>
  <c r="K31" i="4"/>
  <c r="K14" i="4"/>
  <c r="K78" i="4"/>
  <c r="K101" i="4"/>
  <c r="K121" i="4"/>
  <c r="K135" i="4"/>
  <c r="K42" i="4"/>
  <c r="K55" i="4"/>
  <c r="K71" i="4"/>
  <c r="K22" i="4"/>
  <c r="K59" i="4"/>
  <c r="K106" i="4"/>
  <c r="K119" i="4"/>
  <c r="K19" i="4"/>
  <c r="K41" i="4"/>
  <c r="K60" i="4"/>
  <c r="K88" i="4"/>
  <c r="K114" i="4"/>
  <c r="K129" i="4"/>
  <c r="K27" i="4"/>
  <c r="K80" i="4"/>
  <c r="K128" i="4"/>
  <c r="K13" i="4"/>
  <c r="K58" i="4"/>
  <c r="K98" i="4"/>
  <c r="K123" i="4"/>
  <c r="K26" i="4"/>
  <c r="K65" i="4"/>
  <c r="K115" i="4"/>
  <c r="K34" i="4"/>
  <c r="K81" i="4"/>
  <c r="K70" i="4"/>
  <c r="K126" i="4"/>
  <c r="K30" i="4"/>
  <c r="K44" i="4"/>
  <c r="K57" i="4"/>
  <c r="K96" i="4"/>
  <c r="K122" i="4"/>
  <c r="K130" i="4"/>
  <c r="K35" i="4"/>
  <c r="K100" i="4"/>
  <c r="K21" i="4"/>
  <c r="K66" i="4"/>
  <c r="K56" i="4"/>
  <c r="K99" i="4"/>
  <c r="K113" i="4"/>
  <c r="K137" i="4"/>
  <c r="K25" i="4"/>
  <c r="K10" i="4"/>
  <c r="K79" i="4"/>
  <c r="K127" i="4"/>
  <c r="K45" i="4"/>
  <c r="K89" i="4"/>
  <c r="K83" i="4"/>
  <c r="K124" i="4"/>
  <c r="K29" i="4"/>
  <c r="K51" i="4"/>
  <c r="K84" i="4"/>
  <c r="K105" i="4"/>
  <c r="K118" i="4"/>
  <c r="K20" i="4"/>
  <c r="K40" i="4"/>
  <c r="K107" i="4"/>
  <c r="K72" i="4"/>
  <c r="K33" i="4"/>
  <c r="K24" i="4"/>
  <c r="K11" i="4"/>
  <c r="K117" i="4"/>
  <c r="K76" i="4"/>
  <c r="K23" i="4"/>
  <c r="K73" i="4"/>
  <c r="K102" i="4"/>
  <c r="K90" i="4"/>
  <c r="K108" i="4"/>
  <c r="K15" i="4"/>
  <c r="K61" i="4"/>
  <c r="K36" i="4"/>
  <c r="K85" i="4"/>
  <c r="K47" i="4"/>
  <c r="K67" i="4"/>
  <c r="K131" i="4"/>
  <c r="K109" i="4"/>
  <c r="K91" i="4"/>
  <c r="H19" i="2"/>
  <c r="G19" i="2"/>
  <c r="I19" i="2"/>
  <c r="K19" i="2"/>
  <c r="J19" i="2"/>
  <c r="F19" i="2"/>
  <c r="F29" i="2" s="1"/>
  <c r="E24" i="2" l="1"/>
  <c r="N28" i="2"/>
  <c r="L28" i="2"/>
  <c r="O19" i="2"/>
  <c r="M28" i="2"/>
  <c r="E26" i="2"/>
  <c r="E10" i="2"/>
  <c r="E16" i="2"/>
  <c r="E18" i="2"/>
  <c r="E12" i="2"/>
  <c r="E14" i="2"/>
  <c r="J29" i="2"/>
  <c r="J28" i="2" s="1"/>
  <c r="K29" i="2"/>
  <c r="K28" i="2" s="1"/>
  <c r="I29" i="2"/>
  <c r="I28" i="2" s="1"/>
  <c r="G29" i="2"/>
  <c r="G28" i="2" s="1"/>
  <c r="H29" i="2"/>
  <c r="H28" i="2" s="1"/>
  <c r="F28" i="2"/>
  <c r="E28" i="2" l="1"/>
  <c r="O29" i="2"/>
  <c r="O28" i="2" s="1"/>
</calcChain>
</file>

<file path=xl/sharedStrings.xml><?xml version="1.0" encoding="utf-8"?>
<sst xmlns="http://schemas.openxmlformats.org/spreadsheetml/2006/main" count="752" uniqueCount="433">
  <si>
    <t>ESCRITÓRIO DE ENGENHARIA</t>
  </si>
  <si>
    <t>Nome:</t>
  </si>
  <si>
    <t>CAMARA MUNICIPAL DE CÓRREGO FUNDO</t>
  </si>
  <si>
    <t>Endereço:</t>
  </si>
  <si>
    <t>RUA  LIZANDRO VELOSO DA CUNHA</t>
  </si>
  <si>
    <t>Obra:</t>
  </si>
  <si>
    <t>SEDE CAMARA MUNICIPAL DE CÓRREGO FUNDO-MG-CNPJ 02 347 381 0001 05</t>
  </si>
  <si>
    <t>Ass.:</t>
  </si>
  <si>
    <t>Item</t>
  </si>
  <si>
    <t>Descrição</t>
  </si>
  <si>
    <t>Preço Unitario</t>
  </si>
  <si>
    <t>Preço Total</t>
  </si>
  <si>
    <t>Código</t>
  </si>
  <si>
    <t>Órgão</t>
  </si>
  <si>
    <t>SINAPI</t>
  </si>
  <si>
    <t>Serviços Iniciais</t>
  </si>
  <si>
    <t>SETOP</t>
  </si>
  <si>
    <t>m²</t>
  </si>
  <si>
    <t>Preço Unitario*</t>
  </si>
  <si>
    <t>m</t>
  </si>
  <si>
    <t>TOTAL MATERIAL E MÃO DE OBRA</t>
  </si>
  <si>
    <t>SOMATORIO</t>
  </si>
  <si>
    <t>1.1</t>
  </si>
  <si>
    <t>1.2</t>
  </si>
  <si>
    <t>1.3</t>
  </si>
  <si>
    <t>3.1</t>
  </si>
  <si>
    <t>3.2</t>
  </si>
  <si>
    <t>4.5</t>
  </si>
  <si>
    <t>4.6</t>
  </si>
  <si>
    <t>4.7</t>
  </si>
  <si>
    <t>4.10</t>
  </si>
  <si>
    <t>5.1</t>
  </si>
  <si>
    <t>5.2</t>
  </si>
  <si>
    <t>5.3</t>
  </si>
  <si>
    <t>5.4</t>
  </si>
  <si>
    <t>Unid.</t>
  </si>
  <si>
    <t>Quant.</t>
  </si>
  <si>
    <t>1.4</t>
  </si>
  <si>
    <t>CRONOGRAMA FÍSICO-FINANCEIRO</t>
  </si>
  <si>
    <t>ETAPAS</t>
  </si>
  <si>
    <t>Físico / Financeiro</t>
  </si>
  <si>
    <t>TOTAL ETAPAS</t>
  </si>
  <si>
    <t>Mês 1</t>
  </si>
  <si>
    <t>Mês 2</t>
  </si>
  <si>
    <t>Total</t>
  </si>
  <si>
    <t>Físico %</t>
  </si>
  <si>
    <t>Financeiro</t>
  </si>
  <si>
    <t>TOTAL</t>
  </si>
  <si>
    <t>Mês 3</t>
  </si>
  <si>
    <t>Mês 4</t>
  </si>
  <si>
    <t>Mês 5</t>
  </si>
  <si>
    <t>Mês 6</t>
  </si>
  <si>
    <t>Composição BDI</t>
  </si>
  <si>
    <t>BDI</t>
  </si>
  <si>
    <t>SEM Desoneração: Digite S(sim) ou N(não)</t>
  </si>
  <si>
    <t>N</t>
  </si>
  <si>
    <t>COM Desoneração: Digite S(sim) ou N(não)</t>
  </si>
  <si>
    <t>S</t>
  </si>
  <si>
    <t>Garantia (G):</t>
  </si>
  <si>
    <t>Composição do BDI, intervalos admissíveis e Fórmula de cálculo nos termos do Acórdão 2622/2013 do TCU.</t>
  </si>
  <si>
    <t>Risco (R) :</t>
  </si>
  <si>
    <t>Desp. financeiras (DF):</t>
  </si>
  <si>
    <t>Adm. Central (AC):</t>
  </si>
  <si>
    <t>Lucro (L):</t>
  </si>
  <si>
    <t>CPRB:</t>
  </si>
  <si>
    <t>Tributos (T):</t>
  </si>
  <si>
    <t xml:space="preserve">  </t>
  </si>
  <si>
    <t>3,00% a 5,50%</t>
  </si>
  <si>
    <t xml:space="preserve"> 0,80% a 1,00%</t>
  </si>
  <si>
    <t>0,97% a 1,27%</t>
  </si>
  <si>
    <t>0,59% a 1,39%</t>
  </si>
  <si>
    <t>6,16% a 8,96%</t>
  </si>
  <si>
    <t>Total=</t>
  </si>
  <si>
    <t xml:space="preserve"> CONSTRUÇÃO DA SEDE CAMARA MUNICIPAL DE CÓRREGO FUNDO-MG-CNPJ 02 347 381 0001 05</t>
  </si>
  <si>
    <t>PROPRIETÁRIO: CAMARA MUNICIPAL DE CÓRREGO FUNDO ENDEREÇO: RUA  LIZANDRO VELOSO DA CUNHA</t>
  </si>
  <si>
    <t>ED-16660</t>
  </si>
  <si>
    <t>Fornecimento e colocação de placa de obra em chapa galvanizada #26, esp. 0,45 mm, plotada com adesivo vinílico, afixada com rebites 4,8X40 mm, em estrutura metalica de metalon  20X20 mm, esp. 1,25 mm, inclusive suporte em eucalipto autoclavado pintado com tinta pva duas (2) DEMÃOS</t>
  </si>
  <si>
    <t>1.5</t>
  </si>
  <si>
    <t>1.6</t>
  </si>
  <si>
    <t>4.1</t>
  </si>
  <si>
    <t>4.2</t>
  </si>
  <si>
    <t>4.3</t>
  </si>
  <si>
    <t>4.4</t>
  </si>
  <si>
    <t>4.8</t>
  </si>
  <si>
    <t>4.9</t>
  </si>
  <si>
    <t>6.1</t>
  </si>
  <si>
    <t>6.2</t>
  </si>
  <si>
    <t>REFERENCIA - SETOP-06/2022 - SINAPI -10/22</t>
  </si>
  <si>
    <t>MEMORIA DE CALCULO ACABAMENTO</t>
  </si>
  <si>
    <t>ED-50397</t>
  </si>
  <si>
    <t>MURO DIVISÓRIO EM BLOCO DE CONCRETO COM ACABAMENTO REVESTIDO, ESP.15CM, ALTURA DE 220CM, COM SAPATA EM CONCRETO ARMADO , DIMENSÃO (50X55)CM, FORMA EM CONTRA BARRANCO, INCLUSIVE ESCAVAÇÃO COM TRANSPORTE E RETIRADA DO MATERIAL ESCAVADO (EM CAÇAMBA), PINGADEIRA EM CONCRETO, CHAPISCO/REBOCO COM ARGAMASSA (CIMENTO E AREIA) E PINTURA EM DUAS (2) DEMÃOS</t>
  </si>
  <si>
    <t>Muros laterais e frontal  28,3+13,5+30,0+10,6</t>
  </si>
  <si>
    <t xml:space="preserve">RO-41596 </t>
  </si>
  <si>
    <t>m3</t>
  </si>
  <si>
    <t>Muro de arrimo em concreto, tipo OC.MA-01 (Execução, incluindo fornecimento e transporte de todos os materiais)</t>
  </si>
  <si>
    <t>Muros laterais fundo=(13,5+15,0)x1,0x0,20</t>
  </si>
  <si>
    <t>placa = 1,50x3,00</t>
  </si>
  <si>
    <t>ED-50417</t>
  </si>
  <si>
    <t xml:space="preserve">EXECUÇÃO DE PAVIMENTO INTERTRAVADO, ESPESSURA 6CM, FCK 35MPA, INCLUINDO FORNECIMENTO E TRANSPORTE DE TODOS OS MATERIAIS E COLCHÃO DE ASSENTAMENTO COM
ESPESSURA 6CM </t>
  </si>
  <si>
    <t>Entrada subsolo= 3,35+3,50)/2 x 28,30</t>
  </si>
  <si>
    <t>Entrada subsolo= 3,35+3,50)/2 x 28,31</t>
  </si>
  <si>
    <t>ED-51122</t>
  </si>
  <si>
    <t>m2</t>
  </si>
  <si>
    <t xml:space="preserve">REGULARIZAÇÃO E COMPACTAÇÃO DE TERRENO MANUAL, COM SOQUETE
</t>
  </si>
  <si>
    <t>ED-50985</t>
  </si>
  <si>
    <t>PORTÃO EM PERFIL E CHAPA METÁLICA COLOCADO COM CADEADO</t>
  </si>
  <si>
    <t>Entrada subsolo=( 3,2x2,2 ) + Entrada frontal (4,0x2,20)</t>
  </si>
  <si>
    <t>ED-49686</t>
  </si>
  <si>
    <t xml:space="preserve"> FORRO DE GESSO EM PLACAS ACARTONADAS - FGE </t>
  </si>
  <si>
    <t>ED-49685</t>
  </si>
  <si>
    <t xml:space="preserve"> FORRO DE GESSO EM PLACAS 60 X 60 CM LISO </t>
  </si>
  <si>
    <t>INSTALÇÃO ELETRICA</t>
  </si>
  <si>
    <t>ESQUADRIAS</t>
  </si>
  <si>
    <t>PISOS E REVESTIMENTOS</t>
  </si>
  <si>
    <t>PAREDES</t>
  </si>
  <si>
    <t>PISOS</t>
  </si>
  <si>
    <t>TETOS</t>
  </si>
  <si>
    <t>5.3.1</t>
  </si>
  <si>
    <t>5.3.2</t>
  </si>
  <si>
    <t>PINTURAS</t>
  </si>
  <si>
    <t>PAREDES INTERNAS</t>
  </si>
  <si>
    <t>PAREDES EXTERNA</t>
  </si>
  <si>
    <t>LOUÇAS, METAIS E ACESSORIOS</t>
  </si>
  <si>
    <t>Entrada subsolo=1 + 2 WC FEM. E MASC.</t>
  </si>
  <si>
    <t xml:space="preserve">Salas subsolo=4 + 4 arquivo+4 WC FEM. E MASC.+1 DML+Terreo 9 salas+3 wc+2 cozinha+2 sala reunião+1 sala presidente </t>
  </si>
  <si>
    <t xml:space="preserve"> Unid. </t>
  </si>
  <si>
    <t xml:space="preserve">Consumo </t>
  </si>
  <si>
    <t xml:space="preserve"> Custo Unitário </t>
  </si>
  <si>
    <t>Custo Unitário</t>
  </si>
  <si>
    <t>F Total=</t>
  </si>
  <si>
    <t xml:space="preserve">(F)Materiais </t>
  </si>
  <si>
    <t>(G)Serviços</t>
  </si>
  <si>
    <t>hora</t>
  </si>
  <si>
    <t>ED50381</t>
  </si>
  <si>
    <t>ED50367</t>
  </si>
  <si>
    <t>SERVENTE COM ENCARGOS
COMPLEMENTARES</t>
  </si>
  <si>
    <t>PEDREIRO COM ENCARGOS
COMPLEMENTARES</t>
  </si>
  <si>
    <t>Custo Direto Total (E) + (F) + (G) + (H)</t>
  </si>
  <si>
    <t>ED-49588</t>
  </si>
  <si>
    <t>ED-49587</t>
  </si>
  <si>
    <t xml:space="preserve">FOLHA DE PORTA MADEIRA DE LEI PRANCHETA PARA PINTURA 90X 210 CM </t>
  </si>
  <si>
    <t>FOLHA DE PORTA MADEIRA DE LEI PRANCHETA PARA PINTURA 80X 210 C</t>
  </si>
  <si>
    <t>ED-49698</t>
  </si>
  <si>
    <t>DOBRADIÇA DE FERRO, MEDIDAS (3.1/2"X3"), TIPO PINO SOLTO COM BOLA, ACABAMENTO CROMADO, INCLUSIVE ACESSÓRIOS PARA FIXAÇÃO</t>
  </si>
  <si>
    <t>(Porta de 90x210=3 Porta de 80x210=26) 29x3</t>
  </si>
  <si>
    <t xml:space="preserve">ED-49699 </t>
  </si>
  <si>
    <t xml:space="preserve">FECHADURA TIPO EXTERNA, GRAU DE SEGURANÇA MÉDIO, DISTÂNCIA DE BROCA 40MM, ACABAMENTO COM ESPELHO CROMADO E MAÇANETA MODELO ALAVANCA EM ZAMAC, INCLUSIVE ACESSÓRIOS PARA FIXAÇÃO E DUAS (2) CHAVES </t>
  </si>
  <si>
    <t>(Porta de 90x210=3 Porta de 80x210=26)=29</t>
  </si>
  <si>
    <t>ED-49611</t>
  </si>
  <si>
    <t xml:space="preserve">cj </t>
  </si>
  <si>
    <t>Auditório1,65x2,1</t>
  </si>
  <si>
    <t>Salas subsolo= 4 x(0,80x1,60) WC FEM. E MASC.+ Terreo 4 x(0,60x1,60) WC FEM. E MASC.+ WC PNE 2x(0,80x1,60)</t>
  </si>
  <si>
    <t>RÉGUA PARA ALIZARES DE 5 X 1 CM DE MADEIRA DE LEI PARA PINTURA COLOCADO</t>
  </si>
  <si>
    <t>PORTA DE ABRIR COM MOLA HIDRÁULICA, EM VIDRO TEMPERADO, 2 FOLHAS, ESPESSURA DD 10MM, INCLUSIVE ACESSÓRIOS. AF_01/2021</t>
  </si>
  <si>
    <t>PORTA DE ABRIR COM MOLA HIDRÁULICA, EM VIDRO TEMPERADO JATEADO, ESPESSURA 10 MM, INCLUSIVE ACESSÓRIOS. AF_01/2021</t>
  </si>
  <si>
    <t>PORTA DE CORRER, EM VIDRO TEMPERADO, 2 FOLHAS, ESPESSURA DD 10MM, INCLUSIVE ACESSÓRIOS. AF_01/2022</t>
  </si>
  <si>
    <t>Recepção 2,00x2,2 + Auditório 1,60x2,10</t>
  </si>
  <si>
    <t xml:space="preserve">Salas subsolo=4x(2,5x1,5)+Terreo salas 8x(1,8x1,50) +presidencia/cozinha 2x(2,0x1,50)+ sala reunião 1x(1,60x1,50)+auditorio 4x(3,0x1,0) </t>
  </si>
  <si>
    <t>JANELA  DE CORRER COM 4 FOLHAS DE VIDROS TEMPERADOS DD 8 MM, BATENTE DE ALUMÍNIO, ACABAMENTO COM ACETATO OU BRILHANTE E FERRAGENS.  FORNECIMENTO E INSTALAÇÃO.</t>
  </si>
  <si>
    <t>JANELA  TIPO MAXIM-AR, COM VIDROS TEMPERADOS, BATENTE E FERRAGENS DE ALUMÍNIO . FORNECIMENTO E INSTALAÇÃO.</t>
  </si>
  <si>
    <t xml:space="preserve">Salas subsolo=2x(1,20x0,50) WC FEM. E MASC.+Terreo -escada (2,50x0,50)+ wc02 2x(1,15x0,50)+ wc0,5x0,50+wc01 2x(2,50x0,50) </t>
  </si>
  <si>
    <t>5.1.1</t>
  </si>
  <si>
    <t>5.1.2</t>
  </si>
  <si>
    <t xml:space="preserve">REVESTIMENTO COM PORCELANATO ACETINADO IIIUMINATO SANTIN 90cmx90cm RETIFICADO BEGE BIANCOGRÊ, APLICADO EM PAREDE, AMBIENTE INTERNO, PADRÃO EXTRA, ASSENTAMENTO COM ARGAMASSA INDUSTRIALIZADA, INCLUSIVE
REJUNTAMENTO
</t>
  </si>
  <si>
    <t>REVESTIMENTO EM PEDRA PORTUGUESA, INCLUSIVE FORNECIMENTO E PREPARO MECÂNICO DE ARGAMASSA SECA, TIPO FAROFA, PARA
ASSENTAMENTO EM COLCHÃO DE AREIA E CIMENTO, ESP. 6CM, REJUNTAMENTO E ACABAMENTO</t>
  </si>
  <si>
    <t>Salas subsolo= (1,10+1,10)X2,70 WC FEM. E MASC. +  Terreo -wc 02 (0,8+0,8)X3,6)+ wc 01 (3,3+2,87)X3,6)+wc (0,8)x3,6</t>
  </si>
  <si>
    <t>Salas subsolo= (3,04+3,04+2+2)X2,70 WC FEM. E MASC. +  Terreo -wc 02 (((2,2+2,2+1,6+1,6)x2x)3,6)+ wc 01 (((2,87+3,8+3,3+3,8)x2x)3,6)+wc (1,75+1,3+1,75+1,3)x3,6+ cozinha-(5,28)x3,6 - revestimento em pedra 36,79</t>
  </si>
  <si>
    <t xml:space="preserve"> Hall: 12,46m+ Recepção: 18,43m+ Auditório: 54,36m+ Apoio: 13,0m+ Sala da Presidência: 18,40m+ Sala 01: 12,54m+ Sala 02:12,54m+ Sala 03:12,34m+ Sala 04: 12,34m+Sala 05: 12,38m+Sala 06: 12,44m+Sala 07:12,46m+Sala 08: 12,46m+Circulação 01: 76,69m+Sala Reunião:  15,22m+ Cozinha: 15,71m+Circulação 02: 2,70m+Sala 09: 20,20m+Arquivo 01: 14,98m+Sala 10: 19,86m+Arquivo 02: 14,63m+Sala 11: 14,84m+ Arquivo 03: 14,61m+ Sala 12:20,08m+Arquivo 04:  14,68m+DML: 10,52m+Circulação 03:  11,52m2 
</t>
  </si>
  <si>
    <t xml:space="preserve"> REVESTIMENTO CERÂMICO PARA PISO COM PLACAS TIPO  PORCELANATO ACETINADO IIIUMINATO SANTIN 90cmx90cm RETIFICADO BEGE BIANCOGRÊ APLICADA EM AMBIENTES DE ÁREA ENTRE 5 M² E 10 M². AF_06/2014</t>
  </si>
  <si>
    <t>COTAÇAO</t>
  </si>
  <si>
    <t xml:space="preserve">Recepção: 1,85+1,75m+ Auditório: 4,0X3,0m+WC Feminino 01: 2,50m+ WC Masculino 01: 2,50m+ Sala da Presidência: 2,50m+ Sala 01: 1,80m+ Sala 02:1,80m+ Sala 03: 1,80m+ Sala 04: 1,80m+Sala 05: 1,80m+Sala 06: 1,80m+Sala 07: 1,80m+Sala 08:1,80m +Sala Reunião:1,60m+WC Feminino 02: 1,15m+ WC Masculino 02: 1,15m+ Cozinha2,0m+Sala 09: 2,50m+Arquivo 01: Sala 10: 2,50m+Arquivo 02: 2,50m+Sala 11: 2,50m+ Arquivo 03: 0,80m+ Sala 12: 2,50m+Wc Feminino 03: 1,20m+Wc 03 Masculino 03: 1,20m
</t>
  </si>
  <si>
    <t xml:space="preserve"> Hall: 2,7+3,65m+ Recepção: 2,0m+ Auditório:1,65+1,90m+ Apoio: 0,93m+ WC Feminino 01: 0,80m+ WC Masculino 01: 0,80m+Sala da Presidência: 0,80m+ Sala 01: 0,80m+ Sala 02:0,80m+ Sala 03:0,80m+ Sala 04: 0,80m+Sala 05: 0,80m+Sala 06: 0,80m+Sala 07: 0,80m+Sala 08:0,80m+Circulação 01:0,80m+Sala Reunião: 0,80m+ WC Feminino 02: 0,80m+ WC Masculino 02: 0,8m+Cozinha: 0,80m+Circulação 02: 0,8m+Sala 09: 0,80m+Arquivo 01: Sala 10: 0,80m+Arquivo 02: 0,80m+Sala 11: 0,80m+ Arquivo 03: 0,80m+ Sala 12: 0,80m+Arquivo 04:  0,80m+DML: 0,80m+Circulação 03: 23,30 + 0,80m+Wc Feminino 03: 0,80m+Wc 03 Masculino 03: 0,80m
</t>
  </si>
  <si>
    <t xml:space="preserve">ED-50170 </t>
  </si>
  <si>
    <t>CAMADA DE REGULARIZAÇÃO COM ARGAMASSA, TRAÇO 1:3 (CIMENTO E AREIA), ESP. 30MM, APLICAÇÃO MANUAL, PREPARO MECÂNICO</t>
  </si>
  <si>
    <t xml:space="preserve"> Hall:  38,96m2+ Recepção: 17,41m2+ Apoio: 9,49m2+ WC Feminino 01: 10,78m2+ WC Masculino 01:12,51m2+ Sala da Presidência: 20,52m2+ Lavabo: 2,27m2+ Sala 01: 9,97m2+ Sala 02: 9,97m2+ Sala 03: 9,61m2 Sala 04: 9,61m2+Sala 05: 9,75m2+Sala 06: 9,68m2+Sala 07: 9,79m2+Sala 08: 9,79m2+Circulação 01: 82,07m2+WC Feminino 02: 3,76m2+WC Masculino 02: 3,76 m2+Área de Claridade: 4,19m2+Sala Reunião:  15,22m2+ Cozinha: 24,37m2+Escada: 8,12m2+Circulação 02: 28,89m2+Sala 09: 25,55m2+Arquivo 01: 10,08m2+Sala 10: 24,79m2+Arquivo 02: 9,61m2+Sala 11: 24,75m2+ Arquivo 03: 9,60m2+ Sala 12: 25,28m2+Arquivo 04:  9,98m2+DML: 6,76m2+WC Feminino 03: 8,07m2+WC Masculino 03: 6,10m2+Circulação 03:  6,07m2 
</t>
  </si>
  <si>
    <t>ED-51145</t>
  </si>
  <si>
    <t xml:space="preserve"> PASSEIOS DE CONCRETO E = 6 CM, FCK = 10 MPA, JUNTA SECA</t>
  </si>
  <si>
    <t>Rua Lizandro Veloso da Cunnha=43,10x1,5 +Rua Lenocio Vaz da Silva 29,70x1,50</t>
  </si>
  <si>
    <t xml:space="preserve"> Hall:  38,96m2+ Recepção: 17,41m2+ Auditório:  156,61m2+ Apoio: 9,49m2+ WC Feminino 01: 10,78m2+ WC Masculino 01:12,51m2+ Sala da Presidência: 20,52m2+ Lavabo: 2,27m2+ Sala 01: 9,97m2+ Sala 02: 9,97m2+ Sala 03: 9,61m2 Sala 04: 9,61m2+Sala 05: 9,75m2+Sala 06: 9,68m2+Sala 07: 9,79m2+Sala 08: 9,79m2+Circulação 01: 82,07m2+WC Feminino 02: 3,76m2+WC Masculino 02: 3,76 m2+Área de Claridade: 4,19m2+Sala Reunião:  15,22m2+ Cozinha: 24,37m2+Escada: 8,12m2+Circulação 02: 28,89m2+Sala 09: 25,55m2+Arquivo 01: 10,08m2+Sala 10: 24,79m2+Arquivo 02: 9,61m2+Sala 11: 24,75m2+ Arquivo 03: 9,60m2+ Sala 12: 25,28m2+Arquivo 04:  9,98m2+DML: 6,76m2+WC Feminino 03: 8,07m2+WC Masculino 03: 6,10m2+Circulação 03:  6,07m2 + Escada 8,12m2
</t>
  </si>
  <si>
    <t>composiçao</t>
  </si>
  <si>
    <t>Auditório:  156,61m2</t>
  </si>
  <si>
    <t xml:space="preserve">FORNECIMENTO E INSTAÇÃO CARPETE COMERCIAL EM ROLO, ESPESSURA 6,0 mm (± 10%), FIXADO COM COLA. </t>
  </si>
  <si>
    <t>Auditorio = 156,61 area cad</t>
  </si>
  <si>
    <t xml:space="preserve"> Hall:  38,96m2+ Recepção: 17,41m2+ Apoio: 9,49m2+ WC Feminino 01: 10,78m2+ WC Masculino 01:12,51m2+ Sala da Presidência: 20,52m2+ Lavabo: 2,27m2+ Sala 01: 9,97m2+ Sala 02: 9,97m2+ Sala 03: 9,61m2 Sala 04: 9,61m2+Sala 05: 9,75m2+Sala 06: 9,68m2+Sala 07: 9,79m2+Sala 08: 9,79m2+Circulação 01: 82,07m2+WC Feminino 02: 3,76m2+WC Masculino 02: 3,76 m2+Área de Claridade: 4,19m2+Sala Reunião:  15,22m2+ Cozinha: 24,37m2+Escada: 8,12m2+Circulação 02: 28,89m2+Sala 09: 25,55m2+Arquivo 01: 10,08m2+Sala 10: 24,79m2+Arquivo 02: 9,61m2+Sala 11: 24,75m2+ Arquivo 03: 9,60m2+ Sala 12: 25,28m2+Arquivo 04:  9,98m2+DML: 6,76m2+WC Feminino 03: 8,07m2+WC Masculino 03: 6,10m2+Circulação 03:  6,07m2 + Escada :8,12m2
</t>
  </si>
  <si>
    <t xml:space="preserve">SERVIÇOS INICIAIS </t>
  </si>
  <si>
    <t>5.0</t>
  </si>
  <si>
    <t>5.2.1</t>
  </si>
  <si>
    <t>5.2.2</t>
  </si>
  <si>
    <t>5.2.3</t>
  </si>
  <si>
    <t>5.2.4</t>
  </si>
  <si>
    <t>ED-50485</t>
  </si>
  <si>
    <t xml:space="preserve"> Hall:  38,96m2+ Recepção: 17,41m2+ Apoio: 9,49m2+ WC Feminino 01: 10,78m2+ WC Masculino 01:12,51m2+ Sala da Presidência: 20,52m2+ Lavabo: 2,27m2+ Sala 01: 9,97m2+ Sala 02: 9,97m2+ Sala 03: 9,61m2 Sala 04: 9,61m2+Sala 05: 9,75m2+Sala 06: 9,68m2+Sala 07: 9,79m2+Sala 08: 9,79m2+Circulação 01: 82,07m2+WC Feminino 02: 3,76m2+WC Masculino 02: 3,76 m2+Área de Claridade: 4,19m2+Sala Reunião:  15,22m2+ Cozinha: 24,37m2+Escada: 8,12m2+Circulação 02: 28,89m2+Sala 09: 25,55m2+Arquivo 01: 10,08m2+Sala 10: 24,79m2+Arquivo 02: 9,61m2+Sala 11: 24,75m2+ Arquivo 03: 9,60m2+ Sala 12: 25,28m2+Arquivo 04:  9,98m2+DML: 6,76m2+WC Feminino 03: 8,07m2+WC Masculino 03: 6,10m2+Circulação 03:  6,07m2 + Escada :8,12m2 + Auditorio = 156,61 m2 area cad
</t>
  </si>
  <si>
    <t>ED-50474</t>
  </si>
  <si>
    <t xml:space="preserve"> Hall: 12,46m+ Recepção: 18,43m+ Auditório: 54,36m+ Apoio: 13,0m+ Sala da Presidência: 18,40m+ Sala 01: 12,54m+ Sala 02:12,54m+ Sala 03:12,34m+ Sala 04: 12,34m+Sala 05: 12,38m+Sala 06: 12,44m+Sala 07:12,46m+Sala 08: 12,46m+Circulação 01: 76,69m +Sala Reunião: 15,22m + Cozinha: 15,71m + Circulação 02: 2,70m+Sala 09: 20,20m+Arquivo 01: 14,98m+Sala 10: 19,86m+Arquivo 02: 14,63m+Sala 11: 14,84m+ Arquivo 03: 14,61m+ Sala 12:20,08m+Arquivo 04:  14,68m+DML: 10,52m+Circulação 03:  11,52m2 + Escada : 8,12 m
</t>
  </si>
  <si>
    <t>EMASSAMENTO EM FORRO DE GESSO COM MASSA ACRÍLICA, UMA (1) DEMÃO, INCLUSIVE LIXAMENTO PARA PINTURA</t>
  </si>
  <si>
    <t xml:space="preserve"> EMASSAMENTO EM PAREDE COM MASSA ACRÍLICA, DUAS (2) DEMÃOS, INCLUSIVE LIXAMENTO PARA PINTURA</t>
  </si>
  <si>
    <t>ED-50516</t>
  </si>
  <si>
    <t xml:space="preserve"> PREPARAÇÃO PARA EMASSAMENTO OU PINTURA (LÁTEX/ACRÍLICA) EM PAREDE DE GESSO ACARTONADO (DRY-WALL) E FORRO DE GESSO, INCLUSIVE UMA (1) DEMÃO DE SELADOR ACRÍLICO</t>
  </si>
  <si>
    <t>ED-50514</t>
  </si>
  <si>
    <t xml:space="preserve"> PREPARAÇÃO PARA EMASSAMENTO OU PINTURA (LÁTEX/ACRÍLICA) EM PAREDE, INCLUSIVE UMA (1) DEMÃO DE SELADORACRÍLICO</t>
  </si>
  <si>
    <t>6.1.1</t>
  </si>
  <si>
    <t>6.1.2</t>
  </si>
  <si>
    <t>6.1.3</t>
  </si>
  <si>
    <t>6.1.4</t>
  </si>
  <si>
    <t>ED-50451</t>
  </si>
  <si>
    <t xml:space="preserve"> PINTURA ACRÍLICA EM PAREDE, DUAS (2) DEMÃOS, EXCLUSIVE SELADOR ACRÍLICO E MASSA ACRÍLICA /CORRIDA (PVA)
m2 13,99</t>
  </si>
  <si>
    <t xml:space="preserve">ED-50452 </t>
  </si>
  <si>
    <t>PINTURA ACRÍLICA EM TETO, DUAS (2) DEMÃOS, EXCLUSIVE SELADOR ACRÍLICO E MASSA ACRÍLICA/CORRIDA (PVA)
m2 15,47</t>
  </si>
  <si>
    <t>PREPARAÇÃO PARA EMASSAMENTO OU PINTURA (LÁTEX/ACRÍLICA) EM PAREDE, INCLUSIVE UMA (1) DEMÃO DE SELADORACRÍLICO</t>
  </si>
  <si>
    <t>Parede frente Rua Lizandro V.C. : (31,40+1,12)x5,40+(31,4+1,12)x1,20+(4,35x1,8)x2+ Parede frente Rua Leoncio V. S. : (26,20x5,4)+(26,2x1,20)+(5,05x3,0)x2 + (26,2x2,13)/2 + Lateral : (8,25x28,30)+ (4,35x3,0)x2 + Fundos : (8,25x10,5)+(5,05x1,8)x2</t>
  </si>
  <si>
    <t>PINTURA ACRÍLICA EM PAREDE, DUAS (2) DEMÃOS, EXCLUSIVE SELADOR ACRÍLICO E MASSA ACRÍLICA/ CORRIDA (PVA)</t>
  </si>
  <si>
    <t>SOLEIRA GRANITO MARTA ROCHA E = 3 CM</t>
  </si>
  <si>
    <t>PEITORIL DE GRANITO MARTA ROCHA  E = 2 CM</t>
  </si>
  <si>
    <t>RODAPÉ COM REVESTIMENTO EM CERÂMICA  TIPO PORCELANATO COMERCIAL, ALTURA 10CM, PEI IV, ASSENTAMENTO COM ARGAMASSA INDUSTRIALIZADA, INCLUSIVE REJUNTAMENTO</t>
  </si>
  <si>
    <t>RODABANCADA EM GRANITO MARTA ROCHA H = 10 CM, E = 2 CM</t>
  </si>
  <si>
    <t>ESCADA</t>
  </si>
  <si>
    <t>ESCADA=  Patamar :1,18x1,10</t>
  </si>
  <si>
    <t>ESCADA=  Piso : 0,28x18 x1,10</t>
  </si>
  <si>
    <t>ESCADA=  Espelho : 0,18x19 x1,10</t>
  </si>
  <si>
    <t>ESCADA=  Piso : 0,28x18 x1,10 +ESCADA=  Espelho : 0,18x19 x1,10+ESCADA =  Patamar:1,18x1,10)x2</t>
  </si>
  <si>
    <t>PISO DE GRANITO MARTA ROCHA E = 2CM, L = 28 CM, ASSENTADO COM ARGAMASSA INDUSTRIALIZADA, INCLUSIVE REJUNTAMENTO</t>
  </si>
  <si>
    <t>ESPELHO DE GRANITO MARTA ROCHA E = 2CM, L = 18 CM, ASSENTADO COM ARGAMASSA INDUSTRIALIZADA, INCLUSIVE REJUNTAMENTO</t>
  </si>
  <si>
    <t>PATAMAR DE GRANITO MARTA ROCHA E = 2CM, ASSENTADO COM ARGAMASSA INDUSTRIALIZADA, INCLUSIVE REJUNTAMENTO</t>
  </si>
  <si>
    <t>RODAPÉ COM REVESTIMENTO EM GRANITO MARTA ROCHA ESP. 2CM, ALTURA 10CM, ASSENTAMENTO COM ARGAMASSA INDUSTRIALIZADA, INCLUSIVE REJUNTAMENTO</t>
  </si>
  <si>
    <t>5.3.3</t>
  </si>
  <si>
    <t>5.3.4</t>
  </si>
  <si>
    <t>5.3.5</t>
  </si>
  <si>
    <t>5.3.6</t>
  </si>
  <si>
    <t>5.3.7</t>
  </si>
  <si>
    <t>5.4.1</t>
  </si>
  <si>
    <t>5.4.2</t>
  </si>
  <si>
    <t>PINTURA VERNIZ (INCOLOR) ALQUÍDICO EM MADEIRA, USO INTERNO, 2 DEMÃOS. M2 CR 18,31
AF_01/2021</t>
  </si>
  <si>
    <t>Porta de 90cm : 3x0,90x2,1x2 + Porta de 80cm: 26x0,8x2,10x2</t>
  </si>
  <si>
    <t>ED-50491</t>
  </si>
  <si>
    <t>Entrada subsolo=( 3,2x2,2 ) + Entrada frontal (4,0x2,20) X 2</t>
  </si>
  <si>
    <t>6.1.5</t>
  </si>
  <si>
    <t>6.1.6</t>
  </si>
  <si>
    <t>6.1.7</t>
  </si>
  <si>
    <t>6.2.1</t>
  </si>
  <si>
    <t>6.2.2</t>
  </si>
  <si>
    <t>6.2.3</t>
  </si>
  <si>
    <t xml:space="preserve">ED-50581 </t>
  </si>
  <si>
    <t>Rua Lizandro Veloso da Cunnha=43,10x1,5 +Rua Lenocio Vaz da Silva 29,70x1,51</t>
  </si>
  <si>
    <t xml:space="preserve">REVESTIMENTO COM LADRILHO HIDRÁULICO APLICADO EM PISO (20X20CM) COM JUNTA SECA, COM UMA (1) COR, ASSENTAMENTO COM ARGAMASSA INDUSTRIALIZADA </t>
  </si>
  <si>
    <t>5.3.8</t>
  </si>
  <si>
    <t>ED-48156</t>
  </si>
  <si>
    <t xml:space="preserve">ED-48157 </t>
  </si>
  <si>
    <t xml:space="preserve"> WC Feminino 01: 2+ WC Masculino 01:2+ Lavabo:1 + WC Feminino 02: 1 +WC Masculino 02 : 1 + WC Feminino 03: 2 +WC Masculino 03: 2</t>
  </si>
  <si>
    <t xml:space="preserve"> WC Feminino 01: 1 + WC Masculino 01: 1</t>
  </si>
  <si>
    <t>7.1</t>
  </si>
  <si>
    <t>7.2</t>
  </si>
  <si>
    <t>ASSENTO PARA VASO PNE (NBR 9050)</t>
  </si>
  <si>
    <t xml:space="preserve">ASSENTO BRANCO PARA VASO </t>
  </si>
  <si>
    <t>PINTURA ESMALTE EM ESQUADRIAS DE FERRO, DUAS (2)DEMÃOS, INCLUSIVE UMA (1) DEMÃO DE FUNDO ANTICORROSIVO</t>
  </si>
  <si>
    <t>7.3</t>
  </si>
  <si>
    <t>M2</t>
  </si>
  <si>
    <t>7.4</t>
  </si>
  <si>
    <t>BANCADA EM GRANITO MARTA ROCHA E = 3 CM, APOIADA EM CONSOLE DE METALON 20 X 30 MM</t>
  </si>
  <si>
    <t>ED-48342</t>
  </si>
  <si>
    <t>7.5</t>
  </si>
  <si>
    <t>FURO DE BOJO EM BANCADA DE GRANITO/MÁRMORE, INCLUSIVE COLAGEM COM MASSA PLÁSTICA</t>
  </si>
  <si>
    <t>TESTEIRA PARA BANCADA EM GRANITO,  MARTA ROCHA, ESP. 2CM, ALTURA DE 10CM, INCLUSIVE POLIMENTO, CORTE/COLAGEM EM MEIA ESQUADRIA E MASSA PLÁSTICA NA COR DA PEDRA</t>
  </si>
  <si>
    <t xml:space="preserve">Serviço -  ED-48343 BANCADA EM GRANITO CINZA ANDORINHA E = 3
CM, APOIADA EM CONSOLE DE METALON 20 X 30 MM
</t>
  </si>
  <si>
    <t>ORÇAMENTO</t>
  </si>
  <si>
    <t xml:space="preserve">TUBO EM METALON
GALVANIZADO (FORMATO:
RETANGULAR|SEÇÃO:
30X20MM|ESPESSURA: 1,
25MM|MASSA LINEAR: 0,90KG
/M)
</t>
  </si>
  <si>
    <t xml:space="preserve">MATED12746 </t>
  </si>
  <si>
    <t>ED48302</t>
  </si>
  <si>
    <t>ARGAMASSA, TRAÇO 1:3 (CIMENTO E AREIA), PREPARO MECÂNICO</t>
  </si>
  <si>
    <t>7.6</t>
  </si>
  <si>
    <t>7.7</t>
  </si>
  <si>
    <t xml:space="preserve">TORNEIRA CROMADA DE MESA PARA LAVATORIO, TIPO MONOCOMANDO. AF_01/2020
</t>
  </si>
  <si>
    <t>ED-50278</t>
  </si>
  <si>
    <t>Cozinha : 1 pia</t>
  </si>
  <si>
    <t>7.8</t>
  </si>
  <si>
    <t xml:space="preserve">CUBA EM AÇO INOXIDÁVEL DE EMBUTIR, AISI 304, APLICAÇÃO PARA PIA (560X330X115MM), NÚMERO 2, ASSENTAMENTO EM BANCADA, INCLUSIVE VÁLVULA DE ESCOAMENTO DE METAL COM ACABAMENTO CROMADO, SIFÃO DE METAL TIPO COPO COM ACABAMENTO CROMADO, FORNECIMENTO E INSTALAÇÃO </t>
  </si>
  <si>
    <t>(Salas subsolo= (1,10+1,10) WC FEM. E MASC. +  Terreo -wc 02 (0,8+0,8)+ wc 01 (1,95+1,85)+wc (0,8)+Cozinha : 3,10) X 0,55</t>
  </si>
  <si>
    <t>(Salas subsolo= (1,10+1,10+0,55+0,55) WC FEM. E MASC. +  Terreo -wc 02 (0,8+0,8+0,55+0,55)+ wc 01 (1,95+1,85+0,55+0,55) +wc (0,8+0,55)+ cozinha (3,1+0,75)</t>
  </si>
  <si>
    <t>(Salas subsolo= (1,10+1,10+0,55+0,55) WC FEM. E MASC. +  Terreo -wc 02 (0,8+0,8+0,55+0,55)+ wc 01 (1,95+1,85+0,55+0,55)+wc (0,8+0,55)+ cozinha (3,1+0,55</t>
  </si>
  <si>
    <t>ED-50280</t>
  </si>
  <si>
    <t xml:space="preserve"> WC Feminino 01: 2+ WC Masculino 01: 2+ Lavabo:1 + WC Feminino 02: 1 +WC Masculino 02 : 1 + WC Feminino 03: 1 +WC Masculino 03:1</t>
  </si>
  <si>
    <t>7.9</t>
  </si>
  <si>
    <t>CUBA DE LOUÇA BRANCA DE SOBREPOR, FORMATO OVAL, INCLUSIVE VÁLVULA DE ESCOAMENTO DE METAL COM ACABAMENTO CROMADO, SIFÃO DE METAL TIPO COPO COM ACABAMENTO CROMADO, FORNECIMENTO E INSTALAÇÃO</t>
  </si>
  <si>
    <t xml:space="preserve">ED-50324 </t>
  </si>
  <si>
    <t xml:space="preserve">TORNEIRA METÁLICA PARA PIA, BICA MÓVEL, ABERTURA 1/4 DE VOLTA, ACABAMENTO CROMADO, COM AREJADOR, APLICAÇÃO DE MESA, INCLUSIVE ENGATE FLEXÍVEL METÁLICO, FORNECIMENTO E INSTALAÇÃO </t>
  </si>
  <si>
    <t>cozinha: 1 + fogão</t>
  </si>
  <si>
    <t>7.10</t>
  </si>
  <si>
    <t>7.11</t>
  </si>
  <si>
    <t>7.12</t>
  </si>
  <si>
    <t>7.13</t>
  </si>
  <si>
    <t>7.14</t>
  </si>
  <si>
    <t>7.15</t>
  </si>
  <si>
    <t>ED-48160</t>
  </si>
  <si>
    <t xml:space="preserve"> BARRA DE APOIO EM AÇO INOX POLIDO RETA, DN 1.1/4" (31,75MM) , PARA ACESSIBILIDADE (PMR/PCR), COMPRIMENTO 80CM, INSTALADO EM PAREDE, INCLUSIVE FORNECIMENTO, INSTALAÇÃO E ACESSÓRIOS PARA FIXAÇÃO un 194,88</t>
  </si>
  <si>
    <t>ED-48162</t>
  </si>
  <si>
    <t xml:space="preserve"> BARRA DE APOIO EM AÇO INOX POLIDO RETA, DN 1.1/4" (31,75MM) , PARA ACESSIBILIDADE (PMR/PCR), COMPRIMENTO 90CM, INSTALADO EM PAREDE, INCLUSIVE FORNECIMENTO, INSTALAÇÃO E ACESSÓRIOS PARA FIXAÇÃO un 227,88</t>
  </si>
  <si>
    <t xml:space="preserve"> WC Feminino 01: 1+ WC Masculino 01: 1</t>
  </si>
  <si>
    <t xml:space="preserve">ED-50316 </t>
  </si>
  <si>
    <t xml:space="preserve"> WC Feminino 01: 1+ WC Masculino 01: 2</t>
  </si>
  <si>
    <t>DUCHA HIGIÊNICA COM REGISTRO PARA CONTROLE DE FLUXODE ÁGUA, DIÂMETRO 1/2" (20MM), INCLUSIVE FORNECIMENTO E INSTALAÇÃO</t>
  </si>
  <si>
    <t>ED-48181</t>
  </si>
  <si>
    <t xml:space="preserve"> PAPELEIRA METÁLICA CROMADA, INCLUSIVE FIXAÇÃO</t>
  </si>
  <si>
    <t>ED-48184</t>
  </si>
  <si>
    <t xml:space="preserve"> WC Feminino 01: 1+ WC Masculino 01: 1+ Lavabo:1 + WC Feminino 02: 1 +WC Masculino 02 : 1 + WC Feminino 03: 1 +WC Masculino 03:1</t>
  </si>
  <si>
    <t>ED-48180</t>
  </si>
  <si>
    <t>7.16</t>
  </si>
  <si>
    <t>SABONETEIRA EM AÇO INOX TIPO DISPENSER PARA SABONETE LIQUIDO COM RESERVATORIO 800 ML</t>
  </si>
  <si>
    <t>DISPENSER EM AÇO INOX PARA PAPEL TOALHA 2 OU 3 FOLHAS</t>
  </si>
  <si>
    <t xml:space="preserve">ED-50941 </t>
  </si>
  <si>
    <t>7.17</t>
  </si>
  <si>
    <t>7.18</t>
  </si>
  <si>
    <t>CORRIMÃO SIMPLES EM TUBO DE AÇO INOX D = 1 1/2" - FIXADO EM ALVENARIA m 220,03</t>
  </si>
  <si>
    <t>Escada: 3,90+4,30</t>
  </si>
  <si>
    <t xml:space="preserve">ED-51150 </t>
  </si>
  <si>
    <t xml:space="preserve"> WC Feminino 01: 1+ WC Masculino 01: 1+ Lavabo:1 + WC Feminino 02: 1 +WC Masculino 02 : 1 + WC Feminino 03: 1 +WC Masculino 03: 1</t>
  </si>
  <si>
    <t>ESPELHO (60X90CM) ESP.4MM INCLUSIVE FIXAÇÃO COM PARAFUSO FINESSON - FORNECIMENTO E INSTALAÇÃO</t>
  </si>
  <si>
    <t>SERVIÇOS DE PAISAGISMO</t>
  </si>
  <si>
    <t>ED-50437</t>
  </si>
  <si>
    <t>Jardin : (26,5x14,70)/2+ canteiro:22,0x0,40</t>
  </si>
  <si>
    <t>PLANTIO DE GRAMA ESMERALDA EM PLACAS, INCLUSIVE TERRA VEGETAL E CONSERVAÇÃO POR TRINTA (30) DIAS  m2 28,40</t>
  </si>
  <si>
    <t>8.1</t>
  </si>
  <si>
    <t>8.2</t>
  </si>
  <si>
    <t>8.3</t>
  </si>
  <si>
    <t>ED-51100</t>
  </si>
  <si>
    <t>FORNECIMENTO DE ÁRVORE PINHEIRO DE JARDIN COM ALTURA MÉDIA DE 2,00M, INCLUSIVE PLANTIO</t>
  </si>
  <si>
    <t>CORTE E DESATERRO PARA REGULARIZAÇÃO E ARRASTAMENTO NIVELADO A CURTA DISTÂNCIA COM LÂMINA</t>
  </si>
  <si>
    <t xml:space="preserve">ED-51132 </t>
  </si>
  <si>
    <t>CARGA DE MATERIAL DE QUALQUER NATUREZA SOBRE CAMINHÃO - MECÂNICA</t>
  </si>
  <si>
    <t>8.4</t>
  </si>
  <si>
    <t xml:space="preserve">ED-48986 </t>
  </si>
  <si>
    <t>Conforme projeto</t>
  </si>
  <si>
    <t>2.1</t>
  </si>
  <si>
    <t>CABO DE COBRE FLEXÍVEL, CLASSE 5, ISOLAMENTO TIPO EPR/  HEPR, NÃO HALOGENADO, ANTICHAMA, TERMOFIXO, UNIPOLAR, SEÇÃO 1,5 MM2, 90°C, 0,6/1KV</t>
  </si>
  <si>
    <t xml:space="preserve">ED-48989 </t>
  </si>
  <si>
    <t>CABO DE COBRE FLEXÍVEL, CLASSE 5, ISOLAMENTO TIPO EPR/ HEPR, NÃO HALOGENADO, ANTICHAMA, TERMOFIXO, UNIPOLAR, SEÇÃO 2,5 MM2, 90°C, 0,6/1KV</t>
  </si>
  <si>
    <t xml:space="preserve">ED-48992 </t>
  </si>
  <si>
    <t>2.2</t>
  </si>
  <si>
    <t>2.3</t>
  </si>
  <si>
    <t>CABO DE COBRE FLEXÍVEL, CLASSE 5, ISOLAMENTO TIPO EPR/HEPR, NÃO HALOGENADO, ANTICHAMA, TERMOFIXO, UNIPOLAR, SEÇÃO 4 MM2, 90°C, 0,6/1KV
m 6,43</t>
  </si>
  <si>
    <t xml:space="preserve">ED-49001 </t>
  </si>
  <si>
    <t>2.4</t>
  </si>
  <si>
    <t>CABO DE COBRE FLEXÍVEL, CLASSE 5, ISOLAMENTO TIPO EPR/HEPR, NÃO HALOGENADO, ANTICHAMA, TERMOFIXO, UNIPOLAR,SEÇÃO 16 MM2, 90°C, 0,6/1KV</t>
  </si>
  <si>
    <t xml:space="preserve">ED-49004 </t>
  </si>
  <si>
    <t>2.5</t>
  </si>
  <si>
    <t>CABO DE COBRE FLEXÍVEL, CLASSE 5, ISOLAMENTO TIPO EPR/HEPR, NÃO HALOGENADO, ANTICHAMA, TERMOFIXO, UNIPOLAR, SEÇÃO 25 MM2, 90°C, 0,6/1K</t>
  </si>
  <si>
    <t>CABO DE COBRE FLEXÍVEL, CLASSE 5, ISOLAMENTO TIPO EPR/HEPR, NÃO HALOGENADO, ANTICHAMA, TERMOFIXO, UNIPOLAR,SEÇÃO 10 MM2, 90°C, 0,6/1KV m 14,49</t>
  </si>
  <si>
    <t xml:space="preserve">ED-48998 </t>
  </si>
  <si>
    <t>2.6</t>
  </si>
  <si>
    <t>2.7</t>
  </si>
  <si>
    <t>2.8</t>
  </si>
  <si>
    <t xml:space="preserve">ED-15765 </t>
  </si>
  <si>
    <t>ED-15748</t>
  </si>
  <si>
    <t>Conforme projeto, salas, WC,Hall, recepiçao cozinha, escada, arquivo</t>
  </si>
  <si>
    <t xml:space="preserve"> MÓDULO</t>
  </si>
  <si>
    <t>2.9</t>
  </si>
  <si>
    <t>CONJUNTO DE UM (1) INTERRUPTOR SIMPLES, CORRENTE 10A, TENSÃO 250V, (10A-250V) E UMA (1) TOMADA PADRÃO, TRÊS (3) POLOS, CORRENTE 10A, TENSÃO 250V, (2P+T/10A-250V), COM PLACA 4"X2" DE DOIS (2) POSTOS, INCLUSIVE FORNECIMENTO, INSTALAÇÃO, SUPORTE, MÓDULO E PLACA</t>
  </si>
  <si>
    <t>CONJUNTO DE UMA (1) TOMADA PADRÃO, TRÊS (3) POLOS, CORRENTE 10A, TENSÃO 250V, (2P+T/10A-250V), COM PLACA 4"X2" DE UM (1) POSTO, INCLUSIVE FORNECIMENTO, INSTALAÇÃO, SUPORTE, MÓDULO E PLACA</t>
  </si>
  <si>
    <t>ED-15749</t>
  </si>
  <si>
    <t>Conforme projeto: ar condicionado</t>
  </si>
  <si>
    <t>Conforme projeto: Hall, recepçao, circulaçao</t>
  </si>
  <si>
    <t>CONJUNTO DE UMA (1) TOMADA PADRÃO, TRÊS (3) POLOS,CORRENTE 20A, TENSÃO 250V, (2P+T/20A-50V), COM PLACA 4"X2" DE UM (1) POSTO, INCLUSIVE  FORNECIMENTO, INSTALAÇÃO, SUPORTE, MÓDULO E PLACA</t>
  </si>
  <si>
    <t>TOMADA PADRÃO, TRÊS (3) POLOS, CORRENTE 10A,
TENSÃO 250V, (2P+T/10A-250V), INCLUSIVE FORNECIMENTO E INSTALAÇÃO, EXCLUSIVE PLACA E SUPORTE</t>
  </si>
  <si>
    <t>2.10</t>
  </si>
  <si>
    <t>2.11</t>
  </si>
  <si>
    <t>ED-49276</t>
  </si>
  <si>
    <t xml:space="preserve">DISJUNTOR BIPOLAR TERMOMAGNÉTICO 5KA, DE 40A un 50,10
</t>
  </si>
  <si>
    <t>DISJUNTOR MONOPOLAR TERMOMAGNÉTICO 5KA, DE 20A un 21,69</t>
  </si>
  <si>
    <t xml:space="preserve">ED-49231 </t>
  </si>
  <si>
    <t>2.12</t>
  </si>
  <si>
    <t>Conforme projeto:</t>
  </si>
  <si>
    <t>ED-49260</t>
  </si>
  <si>
    <t>2.13</t>
  </si>
  <si>
    <t>ED-49263</t>
  </si>
  <si>
    <t>2.14</t>
  </si>
  <si>
    <t>ED-15115</t>
  </si>
  <si>
    <t>2.15</t>
  </si>
  <si>
    <t xml:space="preserve">DISJUNTOR DE PROTEÇÃO DIFERENCIAL RESIDUAL (DR), BIPOLAR, TIPO DIN, CORRENTE NOMINAL DE 40A, ALTA SENSIBILIDADE, CORRENTE DIFERENCIAL RESIDUAL NOMINAL COM ATUAÇÃO DE 30MA </t>
  </si>
  <si>
    <t>DISJUNTOR TRIPOLAR TERMOMAGNÉTICO 10KA, DE 100A</t>
  </si>
  <si>
    <t>DISJUNTOR TRIPOLAR TERMOMAGNÉTICO 10KA, DE 60A</t>
  </si>
  <si>
    <t xml:space="preserve">ED-49527 </t>
  </si>
  <si>
    <t>2.16</t>
  </si>
  <si>
    <t>SUPRESSOR DE SURTO PARA PROTEÇÃO PRIMÁRIA EM QGD, ATÉ 1,5 KV - 5 KA un 298,72</t>
  </si>
  <si>
    <t>ED-27076</t>
  </si>
  <si>
    <t>2.17</t>
  </si>
  <si>
    <t>LUMINÁRIA COMERCIAL COM DIFUSOR DE EMBUTIR COMPLETA, PARA QUATRO (4) LÂMPADAS TUBULARES LED 4X9W-ØT8, TEMPERATURA DA COR 6500K, FORNECIMENTO E INSTALAÇÃO, INCLUSIVE BASE E LÂMPADA</t>
  </si>
  <si>
    <t>2.18</t>
  </si>
  <si>
    <t>Lateral da construção</t>
  </si>
  <si>
    <t xml:space="preserve"> LUMINÁRIA ARANDELA TIPO TARTARUGA, DE SOBREPOR, COM 1 LÂMPADA LED DE 6W, SEM REATOR - FORNECIMENTO E INSTALAÇÃO. AF_02/2020</t>
  </si>
  <si>
    <t>INSTALAÇÕES DE REDE LÓGICA E TELEFONIA</t>
  </si>
  <si>
    <t xml:space="preserve">ED-48365 </t>
  </si>
  <si>
    <t>CABO UTP 4 PARES CATEGORIA 6 COM REVESTIMENTO EXTERNO NÃO PROPAGANTE A CHAMA</t>
  </si>
  <si>
    <t>ED-49184</t>
  </si>
  <si>
    <t xml:space="preserve">CAIXA DE DISTRIBUIÇÃO GERAL OU DERIVAÇÃO DG Nº4 </t>
  </si>
  <si>
    <t xml:space="preserve">ED-27189 </t>
  </si>
  <si>
    <t>3.3</t>
  </si>
  <si>
    <t>3.4</t>
  </si>
  <si>
    <t>3.5</t>
  </si>
  <si>
    <t>3.6</t>
  </si>
  <si>
    <t>3.7</t>
  </si>
  <si>
    <t xml:space="preserve">CAIXA PRÉ-MOLDADA DE ENTRADA TELEFÔNICA TIPO R1, MEDIDAS INTERNAS 60X35X50CM, INCLUSIVE ESCAVAÇÃO, APILOAMENTO, LASTRO DE BRITA, REATERRO E TRANSPORTE E RETIRADA DO MATERIAL ESCAVADO (EM CAÇAMBA) </t>
  </si>
  <si>
    <t>ED-15752</t>
  </si>
  <si>
    <t>ED-15751</t>
  </si>
  <si>
    <t>CONJUNTO DE UMA (1) TOMADA DE DADOS (CONECTOR RJ45 CAT.6E), COM PLACA 4"X2" DE UM (1) POSTO, INCLUSIVE FORNECIMENTO, INSTALAÇÃO, SUPORTE, MÓDULO E PLACA un 35,88</t>
  </si>
  <si>
    <t>CONJUNTO DE UMA (1) TOMADA TELEFÔNICA (CONECTOR RJ11), COM PLACA 4"X2" DE UM (1) POSTO, INCLUSIVE FORNECIMENTO, INSTALAÇÃO, SUPORTE, MÓDULO E PLACA un 25,10</t>
  </si>
  <si>
    <t>VERBA</t>
  </si>
  <si>
    <t>FORNECIMETNO E INSTALAÇAO DE SISTEMA DE  ÁUDIO E VÍDEO CONFORME PROJETO</t>
  </si>
  <si>
    <t>FORNECIMENTO E INSTALAÇÃO DE RACK19'' X44U COM VOICE PANEL 50 PORTAS - 1U, PABX IP, DISTRIBUIDOR ÓTICO - 12 F, SWITCH 24 PORTAS 10 GIGABIT- 1U  , ORGANIZADOR DE CABOS HORIZONTAL DE 1U, PATCH PANEL 24 PORTAS - 1U, RÉGUA DE TOMADAS - 08 POSIÇÕES E BANDEJA 1U PARA RACK 19" CONFORME PROJETO</t>
  </si>
  <si>
    <t>Total 5 =</t>
  </si>
  <si>
    <t>Total 6 =</t>
  </si>
  <si>
    <t>Assinatura do Responsável Técnico: ______________________________________________ Local e Data:  Córrego Fundo  20  Novembro  2022</t>
  </si>
  <si>
    <t>Nome legível do responsável técnico pela elaboração da planilha Bruna Luiza Silveira Arquiteta e Urbanista CAU A272685-8</t>
  </si>
  <si>
    <t xml:space="preserve">BANCADA EM GRANITO (COR: Marta Rocha|TIPO:
POLIDO|ESPESSURA: 3CM)
</t>
  </si>
  <si>
    <t>canteiro: Rua Joáo Vaz</t>
  </si>
  <si>
    <t>ED-51148</t>
  </si>
  <si>
    <t>5.3.9</t>
  </si>
  <si>
    <t>RAMPA PARA ACESSO DE DEFICIENTE, EM CONCRETO SIMPLESFCK = 25 MPA, DESEMPENADA, COM PINTURA INDICATIVA, 02 DEMÃOS
U 371,62</t>
  </si>
  <si>
    <t>Rua Lizandro Veloso da Cunnha : 1 +Rua Lenocio Vaz da Silva : 1</t>
  </si>
  <si>
    <t xml:space="preserve">BRISE  </t>
  </si>
  <si>
    <t>OÇAMENTO</t>
  </si>
  <si>
    <t>Rua Lizandro Veloso da Cunnha + Rua Lenocio Vaz da Silva</t>
  </si>
  <si>
    <t>Fornecimento e Instalação de painel em aço corten com recortes e espessura 2mm. Painel fachada composto por chapas de aço corten com recortes feitos a plasma, estruturado com perfis em aço corten, com área total de 120 m², acabamento oxidado natural. 07 (sete) painéis em aço corten, recortes feitos a plasma, estruturado com
perfis de aço corten, com dimensão aproximadas de 275x270cm, Acabamento oxidado natural. Brise composto por chapas de aço corten com espessura de 2mm,
estruturado com chapas de aço corten com espessura de 3mm, chapas base com espessura de 8mm, chumbadores bengalas, recortes feitos a plasma, 23 (vinte e três) unidades com dimensões de 50x15x540cm cada,
acabamento oxidado natural.</t>
  </si>
  <si>
    <t>9.1</t>
  </si>
  <si>
    <t>Mês 7</t>
  </si>
  <si>
    <t>Mês 8</t>
  </si>
  <si>
    <t>Mês 9</t>
  </si>
  <si>
    <t>und.</t>
  </si>
  <si>
    <t>unid.</t>
  </si>
  <si>
    <t>ED-50266</t>
  </si>
  <si>
    <t>8.5</t>
  </si>
  <si>
    <t xml:space="preserve"> LIMPEZA FINAL PARA ENTREGA DA OBRA m2 6,43
</t>
  </si>
  <si>
    <t xml:space="preserve"> Hall:  38,96m2+ Recepção: 17,41m2+Auditorio :  156,61 +Apoio: 9,49m2+ WC Feminino 01: 10,78m2+ WC Masculino 01:12,51m2+ Sala da Presidência: 20,52m2+ Lavabo: 2,27m2+ Sala 01: 9,97m2+ Sala 02: 9,97m2+ Sala 03: 9,61m2 Sala 04: 9,61m2+Sala 05: 9,75m2+Sala 06: 9,68m2+Sala 07: 9,79m2+Sala 08: 9,79m2+Circulação 01: 82,07m2+WC Feminino 02: 3,76m2+WC Masculino 02: 3,76 m2+Área de Claridade: 4,19m2+Sala Reunião:  15,22m2+ Cozinha: 24,37m2+Escada: 8,12m2+Circulação 02: 28,89m2+Sala 09: 25,55m2+Arquivo 01: 10,08m2+Sala 10: 24,79m2+Arquivo 02: 9,61m2+Sala 11: 24,75m2+ Arquivo 03: 9,60m2+ Sala 12: 25,28m2+Arquivo 04:  9,98m2+DML: 6,76m2+WC Feminino 03: 8,07m2+WC Masculino 03: 6,10m2+Circulação 03:  6,07m2 
</t>
  </si>
  <si>
    <t>CAMARA MUNICIPAL DE CORREGO FUNDO
Estado de Minas Gerais</t>
  </si>
  <si>
    <t>E-mail: cmcfundo@gmail.com – CNPJ 02.347.381/0001-05</t>
  </si>
  <si>
    <t xml:space="preserve">Tel: (037) 3322-9122 - Rua Galeno Silva, nº 146– Centro – CEP 35.578-000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</si>
</sst>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quot;R$&quot;* #,##0.00_-;\-&quot;R$&quot;* #,##0.00_-;_-&quot;R$&quot;* &quot;-&quot;??_-;_-@_-"/>
    <numFmt numFmtId="165" formatCode="&quot;R$ &quot;#,##0.00"/>
    <numFmt numFmtId="166" formatCode="&quot;R$&quot;\ #,##0.00"/>
    <numFmt numFmtId="167" formatCode="_-* #,##0.0000_-;\-* #,##0.0000_-;_-* &quot;-&quot;??_-;_-@_-"/>
  </numFmts>
  <fonts count="39" x14ac:knownFonts="1">
    <font>
      <sz val="11"/>
      <color theme="1"/>
      <name val="Calibri"/>
      <family val="2"/>
      <scheme val="minor"/>
    </font>
    <font>
      <sz val="11"/>
      <color theme="1"/>
      <name val="Calibri"/>
      <family val="2"/>
      <scheme val="minor"/>
    </font>
    <font>
      <sz val="14"/>
      <name val="Arial"/>
      <family val="2"/>
    </font>
    <font>
      <sz val="10"/>
      <name val="Arial"/>
      <family val="2"/>
    </font>
    <font>
      <sz val="9"/>
      <color theme="1"/>
      <name val="Calibri"/>
      <family val="2"/>
      <scheme val="minor"/>
    </font>
    <font>
      <b/>
      <sz val="9"/>
      <name val="Arial"/>
      <family val="2"/>
    </font>
    <font>
      <sz val="9"/>
      <name val="Times New Roman"/>
      <family val="1"/>
    </font>
    <font>
      <sz val="9"/>
      <color theme="1"/>
      <name val="Times New Roman"/>
      <family val="1"/>
    </font>
    <font>
      <sz val="8"/>
      <name val="Calibri"/>
      <family val="2"/>
      <scheme val="minor"/>
    </font>
    <font>
      <sz val="9"/>
      <color theme="1"/>
      <name val="Arial"/>
      <family val="2"/>
    </font>
    <font>
      <b/>
      <sz val="9"/>
      <color theme="1"/>
      <name val="Arial"/>
      <family val="2"/>
    </font>
    <font>
      <sz val="9"/>
      <color rgb="FF000000"/>
      <name val="Arial"/>
      <family val="2"/>
    </font>
    <font>
      <sz val="9"/>
      <name val="Arial"/>
      <family val="2"/>
    </font>
    <font>
      <b/>
      <sz val="11"/>
      <color theme="1"/>
      <name val="Arial"/>
      <family val="2"/>
    </font>
    <font>
      <b/>
      <sz val="11"/>
      <color theme="1"/>
      <name val="Calibri"/>
      <family val="2"/>
      <scheme val="minor"/>
    </font>
    <font>
      <sz val="8"/>
      <color theme="1"/>
      <name val="Arial"/>
      <family val="2"/>
    </font>
    <font>
      <b/>
      <sz val="10"/>
      <name val="Arial"/>
      <family val="2"/>
    </font>
    <font>
      <b/>
      <sz val="16"/>
      <name val="Arial"/>
      <family val="2"/>
    </font>
    <font>
      <sz val="10"/>
      <color theme="1"/>
      <name val="Arial"/>
      <family val="2"/>
    </font>
    <font>
      <sz val="26"/>
      <color theme="1"/>
      <name val="Calibri"/>
      <family val="2"/>
      <scheme val="minor"/>
    </font>
    <font>
      <b/>
      <sz val="14"/>
      <name val="Arial"/>
      <family val="2"/>
    </font>
    <font>
      <b/>
      <sz val="8"/>
      <color theme="1"/>
      <name val="Arial"/>
      <family val="2"/>
    </font>
    <font>
      <sz val="11"/>
      <color rgb="FFFF0000"/>
      <name val="Calibri"/>
      <family val="2"/>
      <scheme val="minor"/>
    </font>
    <font>
      <sz val="9"/>
      <color rgb="FFFF0000"/>
      <name val="Calibri"/>
      <family val="2"/>
      <scheme val="minor"/>
    </font>
    <font>
      <b/>
      <sz val="9"/>
      <color rgb="FFFF0000"/>
      <name val="Calibri"/>
      <family val="2"/>
      <scheme val="minor"/>
    </font>
    <font>
      <sz val="8"/>
      <color theme="1"/>
      <name val="Calibri"/>
      <family val="2"/>
      <scheme val="minor"/>
    </font>
    <font>
      <b/>
      <sz val="8"/>
      <name val="Arial"/>
      <family val="2"/>
    </font>
    <font>
      <sz val="8"/>
      <name val="Times New Roman"/>
      <family val="1"/>
    </font>
    <font>
      <sz val="8"/>
      <color theme="1"/>
      <name val="Times New Roman"/>
      <family val="1"/>
    </font>
    <font>
      <sz val="8"/>
      <name val="Arial"/>
      <family val="2"/>
    </font>
    <font>
      <sz val="8"/>
      <color rgb="FF000000"/>
      <name val="Arial"/>
      <family val="2"/>
    </font>
    <font>
      <sz val="7"/>
      <color theme="1"/>
      <name val="Calibri"/>
      <family val="2"/>
      <scheme val="minor"/>
    </font>
    <font>
      <b/>
      <sz val="7"/>
      <name val="Arial"/>
      <family val="2"/>
    </font>
    <font>
      <sz val="7"/>
      <name val="Times New Roman"/>
      <family val="1"/>
    </font>
    <font>
      <sz val="7"/>
      <color theme="1"/>
      <name val="Times New Roman"/>
      <family val="1"/>
    </font>
    <font>
      <sz val="7"/>
      <color theme="1"/>
      <name val="Arial"/>
      <family val="2"/>
    </font>
    <font>
      <b/>
      <sz val="7"/>
      <color theme="1"/>
      <name val="Arial"/>
      <family val="2"/>
    </font>
    <font>
      <b/>
      <sz val="7"/>
      <color theme="0"/>
      <name val="Arial"/>
      <family val="2"/>
    </font>
    <font>
      <sz val="7"/>
      <name val="Arial"/>
      <family val="2"/>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rgb="FFC0C0C0"/>
        <bgColor indexed="64"/>
      </patternFill>
    </fill>
    <fill>
      <patternFill patternType="solid">
        <fgColor rgb="FFBFBFBF"/>
        <bgColor indexed="64"/>
      </patternFill>
    </fill>
    <fill>
      <patternFill patternType="solid">
        <fgColor theme="0" tint="-0.249977111117893"/>
        <bgColor indexed="64"/>
      </patternFill>
    </fill>
    <fill>
      <patternFill patternType="solid">
        <fgColor rgb="FF00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416">
    <xf numFmtId="0" fontId="0" fillId="0" borderId="0" xfId="0"/>
    <xf numFmtId="0" fontId="0" fillId="0" borderId="1" xfId="0" applyBorder="1"/>
    <xf numFmtId="0" fontId="0" fillId="0" borderId="9" xfId="0" applyBorder="1"/>
    <xf numFmtId="2" fontId="6" fillId="0" borderId="16" xfId="0" applyNumberFormat="1" applyFont="1" applyBorder="1" applyAlignment="1">
      <alignment horizontal="center" vertical="center"/>
    </xf>
    <xf numFmtId="2"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0" xfId="0" applyAlignment="1">
      <alignment wrapText="1"/>
    </xf>
    <xf numFmtId="166" fontId="9" fillId="0" borderId="0" xfId="0" applyNumberFormat="1" applyFont="1" applyAlignment="1">
      <alignment horizontal="center" vertical="center"/>
    </xf>
    <xf numFmtId="166" fontId="9" fillId="0" borderId="10" xfId="0" applyNumberFormat="1" applyFont="1" applyBorder="1" applyAlignment="1">
      <alignment horizontal="right" vertical="center"/>
    </xf>
    <xf numFmtId="0" fontId="9" fillId="0" borderId="1" xfId="0" applyFont="1" applyBorder="1" applyAlignment="1">
      <alignment horizontal="center"/>
    </xf>
    <xf numFmtId="49" fontId="12" fillId="0" borderId="1" xfId="0" applyNumberFormat="1" applyFont="1" applyBorder="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0" fillId="4" borderId="9" xfId="0" applyFill="1" applyBorder="1"/>
    <xf numFmtId="0" fontId="0" fillId="4" borderId="1" xfId="0" applyFill="1" applyBorder="1"/>
    <xf numFmtId="0" fontId="13" fillId="4" borderId="1" xfId="0" applyFont="1" applyFill="1" applyBorder="1" applyAlignment="1">
      <alignment horizontal="left" vertical="center"/>
    </xf>
    <xf numFmtId="0" fontId="0" fillId="4" borderId="10" xfId="0" applyFill="1" applyBorder="1"/>
    <xf numFmtId="0" fontId="10" fillId="0" borderId="1" xfId="0" applyFont="1" applyBorder="1" applyAlignment="1">
      <alignment vertical="center"/>
    </xf>
    <xf numFmtId="0" fontId="10" fillId="0" borderId="7" xfId="0" applyFont="1" applyBorder="1" applyAlignment="1">
      <alignment vertical="center"/>
    </xf>
    <xf numFmtId="165" fontId="6" fillId="0" borderId="20" xfId="0" applyNumberFormat="1" applyFont="1" applyBorder="1" applyAlignment="1">
      <alignment horizontal="center" vertical="center"/>
    </xf>
    <xf numFmtId="0" fontId="7" fillId="0" borderId="25" xfId="0" applyFont="1" applyBorder="1" applyAlignment="1">
      <alignment horizontal="center" vertical="center"/>
    </xf>
    <xf numFmtId="165" fontId="6" fillId="0" borderId="22" xfId="0" applyNumberFormat="1" applyFont="1" applyBorder="1" applyAlignment="1">
      <alignment horizontal="center" vertical="center"/>
    </xf>
    <xf numFmtId="166" fontId="13" fillId="0" borderId="0" xfId="0" applyNumberFormat="1" applyFont="1" applyAlignment="1">
      <alignment horizontal="center" vertical="center"/>
    </xf>
    <xf numFmtId="1" fontId="6" fillId="0" borderId="0" xfId="0" applyNumberFormat="1"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xf>
    <xf numFmtId="166" fontId="9" fillId="0" borderId="0" xfId="0" applyNumberFormat="1" applyFont="1" applyAlignment="1">
      <alignment horizontal="right" vertical="center"/>
    </xf>
    <xf numFmtId="166" fontId="9" fillId="0" borderId="0" xfId="0" applyNumberFormat="1" applyFont="1" applyAlignment="1">
      <alignment vertical="center"/>
    </xf>
    <xf numFmtId="166" fontId="4" fillId="0" borderId="0" xfId="0" applyNumberFormat="1" applyFont="1" applyAlignment="1">
      <alignment wrapText="1"/>
    </xf>
    <xf numFmtId="0" fontId="4" fillId="0" borderId="0" xfId="0" applyFont="1"/>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3" fillId="0" borderId="1" xfId="0" applyFont="1" applyBorder="1" applyAlignment="1">
      <alignment horizontal="left" vertical="center"/>
    </xf>
    <xf numFmtId="0" fontId="0" fillId="0" borderId="11" xfId="0" applyBorder="1"/>
    <xf numFmtId="0" fontId="0" fillId="0" borderId="12" xfId="0" applyBorder="1"/>
    <xf numFmtId="0" fontId="0" fillId="0" borderId="13" xfId="0" applyBorder="1"/>
    <xf numFmtId="0" fontId="0" fillId="0" borderId="1" xfId="0" applyBorder="1" applyAlignment="1">
      <alignment horizontal="center"/>
    </xf>
    <xf numFmtId="0" fontId="0" fillId="4" borderId="6" xfId="0" applyFill="1" applyBorder="1"/>
    <xf numFmtId="0" fontId="0" fillId="4" borderId="7" xfId="0" applyFill="1" applyBorder="1"/>
    <xf numFmtId="0" fontId="0" fillId="4" borderId="8" xfId="0" applyFill="1" applyBorder="1" applyAlignment="1">
      <alignment horizontal="center"/>
    </xf>
    <xf numFmtId="0" fontId="10" fillId="4" borderId="9" xfId="0" applyFont="1" applyFill="1" applyBorder="1" applyAlignment="1">
      <alignment horizontal="center" vertical="center"/>
    </xf>
    <xf numFmtId="0" fontId="9" fillId="4" borderId="1" xfId="0" applyFont="1" applyFill="1" applyBorder="1" applyAlignment="1">
      <alignment horizontal="center" vertical="center"/>
    </xf>
    <xf numFmtId="166" fontId="9" fillId="4" borderId="1" xfId="0" applyNumberFormat="1" applyFont="1" applyFill="1" applyBorder="1" applyAlignment="1">
      <alignment horizontal="center" vertical="center"/>
    </xf>
    <xf numFmtId="166" fontId="9" fillId="4" borderId="10" xfId="0" applyNumberFormat="1" applyFont="1" applyFill="1" applyBorder="1" applyAlignment="1">
      <alignment horizontal="right" vertical="center"/>
    </xf>
    <xf numFmtId="166" fontId="14" fillId="4" borderId="10" xfId="0" applyNumberFormat="1" applyFont="1" applyFill="1" applyBorder="1" applyAlignment="1">
      <alignment horizontal="right"/>
    </xf>
    <xf numFmtId="166" fontId="14" fillId="0" borderId="10" xfId="0" applyNumberFormat="1" applyFont="1" applyBorder="1" applyAlignment="1">
      <alignment horizontal="right"/>
    </xf>
    <xf numFmtId="0" fontId="15" fillId="0" borderId="1" xfId="0" applyFont="1" applyBorder="1" applyAlignment="1">
      <alignment horizontal="center" vertical="center"/>
    </xf>
    <xf numFmtId="0" fontId="0" fillId="0" borderId="28" xfId="0" applyBorder="1"/>
    <xf numFmtId="0" fontId="0" fillId="0" borderId="2" xfId="0" applyBorder="1"/>
    <xf numFmtId="0" fontId="0" fillId="0" borderId="34" xfId="0" applyBorder="1" applyAlignment="1">
      <alignment horizontal="center"/>
    </xf>
    <xf numFmtId="0" fontId="11" fillId="0" borderId="0" xfId="0" applyFont="1" applyAlignment="1">
      <alignment horizontal="left" vertical="center"/>
    </xf>
    <xf numFmtId="2" fontId="13" fillId="0" borderId="0" xfId="0" applyNumberFormat="1" applyFont="1" applyAlignment="1">
      <alignment horizontal="center" vertical="center"/>
    </xf>
    <xf numFmtId="2" fontId="13" fillId="0" borderId="11" xfId="0" applyNumberFormat="1" applyFont="1" applyBorder="1" applyAlignment="1">
      <alignment horizontal="center" vertical="center"/>
    </xf>
    <xf numFmtId="2" fontId="13" fillId="0" borderId="12" xfId="0" applyNumberFormat="1" applyFont="1" applyBorder="1" applyAlignment="1">
      <alignment horizontal="center" vertical="center"/>
    </xf>
    <xf numFmtId="166" fontId="13" fillId="0" borderId="12" xfId="0" applyNumberFormat="1" applyFont="1" applyBorder="1" applyAlignment="1">
      <alignment horizontal="center" vertical="center"/>
    </xf>
    <xf numFmtId="166" fontId="13" fillId="0" borderId="13" xfId="0" applyNumberFormat="1" applyFont="1" applyBorder="1" applyAlignment="1">
      <alignment horizontal="center" vertical="center"/>
    </xf>
    <xf numFmtId="0" fontId="13" fillId="4" borderId="7"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2" fontId="9" fillId="0" borderId="0" xfId="0" applyNumberFormat="1" applyFont="1" applyAlignment="1">
      <alignment horizontal="center" vertical="center"/>
    </xf>
    <xf numFmtId="2" fontId="6" fillId="0" borderId="0" xfId="0" applyNumberFormat="1" applyFont="1" applyAlignment="1">
      <alignment horizontal="center" vertical="center"/>
    </xf>
    <xf numFmtId="0" fontId="7" fillId="0" borderId="0" xfId="0" applyFont="1" applyAlignment="1">
      <alignment horizontal="center" vertical="center"/>
    </xf>
    <xf numFmtId="165" fontId="6" fillId="0" borderId="0" xfId="0" applyNumberFormat="1"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wrapText="1"/>
    </xf>
    <xf numFmtId="166" fontId="9" fillId="0" borderId="0" xfId="1" applyNumberFormat="1" applyFont="1" applyBorder="1" applyAlignment="1">
      <alignment horizontal="center" vertical="center"/>
    </xf>
    <xf numFmtId="0" fontId="9" fillId="0" borderId="0" xfId="0" applyFont="1" applyAlignment="1">
      <alignment horizontal="left" vertical="top"/>
    </xf>
    <xf numFmtId="0" fontId="9" fillId="0" borderId="0" xfId="0" applyFont="1" applyAlignment="1">
      <alignment horizontal="left" vertical="top" wrapText="1"/>
    </xf>
    <xf numFmtId="0" fontId="11" fillId="2" borderId="0" xfId="0" applyFont="1" applyFill="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xf>
    <xf numFmtId="49" fontId="12" fillId="0" borderId="0" xfId="0" applyNumberFormat="1" applyFont="1" applyAlignment="1">
      <alignment horizontal="center" vertical="center"/>
    </xf>
    <xf numFmtId="0" fontId="11" fillId="2" borderId="0" xfId="0" applyFont="1" applyFill="1" applyAlignment="1">
      <alignment vertical="center"/>
    </xf>
    <xf numFmtId="0" fontId="11" fillId="3" borderId="0" xfId="0" applyFont="1" applyFill="1" applyAlignment="1">
      <alignment horizontal="center" vertical="center"/>
    </xf>
    <xf numFmtId="0" fontId="11" fillId="2" borderId="0" xfId="0" applyFont="1" applyFill="1" applyAlignment="1">
      <alignment vertical="center" wrapText="1"/>
    </xf>
    <xf numFmtId="3" fontId="12" fillId="0" borderId="0" xfId="0" applyNumberFormat="1"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xf>
    <xf numFmtId="0" fontId="9" fillId="3" borderId="0" xfId="0" applyFont="1" applyFill="1" applyAlignment="1">
      <alignment horizontal="center" vertical="center"/>
    </xf>
    <xf numFmtId="49" fontId="12" fillId="3" borderId="0" xfId="0" applyNumberFormat="1" applyFont="1" applyFill="1" applyAlignment="1">
      <alignment horizontal="center" vertical="center"/>
    </xf>
    <xf numFmtId="0" fontId="0" fillId="4" borderId="0" xfId="0" applyFill="1"/>
    <xf numFmtId="0" fontId="13" fillId="4" borderId="0" xfId="0" applyFont="1" applyFill="1" applyAlignment="1">
      <alignment horizontal="center" vertical="center"/>
    </xf>
    <xf numFmtId="0" fontId="0" fillId="4" borderId="0" xfId="0" applyFill="1" applyAlignment="1">
      <alignment horizontal="center"/>
    </xf>
    <xf numFmtId="0" fontId="0" fillId="0" borderId="0" xfId="0" applyAlignment="1">
      <alignment horizontal="center"/>
    </xf>
    <xf numFmtId="0" fontId="10" fillId="4" borderId="0" xfId="0" applyFont="1" applyFill="1" applyAlignment="1">
      <alignment horizontal="center" vertical="center"/>
    </xf>
    <xf numFmtId="0" fontId="9" fillId="4" borderId="0" xfId="0" applyFont="1" applyFill="1" applyAlignment="1">
      <alignment horizontal="center" vertical="center"/>
    </xf>
    <xf numFmtId="166" fontId="9" fillId="4" borderId="0" xfId="0" applyNumberFormat="1" applyFont="1" applyFill="1" applyAlignment="1">
      <alignment horizontal="center" vertical="center"/>
    </xf>
    <xf numFmtId="0" fontId="13" fillId="0" borderId="0" xfId="0" applyFont="1" applyAlignment="1">
      <alignment horizontal="left" vertical="center"/>
    </xf>
    <xf numFmtId="0" fontId="13" fillId="4" borderId="0" xfId="0" applyFont="1" applyFill="1" applyAlignment="1">
      <alignment horizontal="left" vertical="center"/>
    </xf>
    <xf numFmtId="166" fontId="0" fillId="0" borderId="0" xfId="0" applyNumberFormat="1" applyAlignment="1">
      <alignment horizontal="center"/>
    </xf>
    <xf numFmtId="0" fontId="0" fillId="0" borderId="29" xfId="0" applyBorder="1"/>
    <xf numFmtId="10" fontId="16" fillId="5" borderId="7" xfId="0" applyNumberFormat="1" applyFont="1" applyFill="1" applyBorder="1" applyAlignment="1">
      <alignment horizontal="center"/>
    </xf>
    <xf numFmtId="10" fontId="16" fillId="0" borderId="8" xfId="1" applyNumberFormat="1" applyFont="1" applyFill="1" applyBorder="1" applyAlignment="1"/>
    <xf numFmtId="10" fontId="16" fillId="5" borderId="12" xfId="0" applyNumberFormat="1" applyFont="1" applyFill="1" applyBorder="1" applyAlignment="1">
      <alignment horizontal="center"/>
    </xf>
    <xf numFmtId="0" fontId="12" fillId="0" borderId="9" xfId="0" applyFont="1" applyBorder="1"/>
    <xf numFmtId="0" fontId="18" fillId="0" borderId="0" xfId="0" applyFont="1" applyAlignment="1">
      <alignment horizontal="center" vertical="center"/>
    </xf>
    <xf numFmtId="0" fontId="18" fillId="0" borderId="0" xfId="0" applyFont="1" applyAlignment="1">
      <alignment horizontal="left" vertical="center"/>
    </xf>
    <xf numFmtId="10" fontId="16" fillId="0" borderId="13" xfId="1" applyNumberFormat="1" applyFont="1" applyFill="1" applyBorder="1" applyAlignment="1"/>
    <xf numFmtId="0" fontId="0" fillId="0" borderId="24" xfId="0" applyBorder="1"/>
    <xf numFmtId="0" fontId="0" fillId="0" borderId="18" xfId="0" applyBorder="1"/>
    <xf numFmtId="0" fontId="0" fillId="0" borderId="31" xfId="0" applyBorder="1"/>
    <xf numFmtId="0" fontId="10" fillId="0" borderId="1" xfId="0" applyFont="1" applyBorder="1" applyAlignment="1">
      <alignment horizontal="right" vertical="center"/>
    </xf>
    <xf numFmtId="166" fontId="10" fillId="0" borderId="1" xfId="0" applyNumberFormat="1" applyFont="1" applyBorder="1" applyAlignment="1">
      <alignment horizontal="right" vertical="center"/>
    </xf>
    <xf numFmtId="166" fontId="10" fillId="0" borderId="3" xfId="0" applyNumberFormat="1" applyFont="1" applyBorder="1" applyAlignment="1">
      <alignment horizontal="right" vertical="center"/>
    </xf>
    <xf numFmtId="0" fontId="9" fillId="0" borderId="1" xfId="0" applyFont="1" applyBorder="1" applyAlignment="1">
      <alignment vertical="top" wrapText="1"/>
    </xf>
    <xf numFmtId="0" fontId="9" fillId="0" borderId="1" xfId="0" applyFont="1" applyBorder="1" applyAlignment="1">
      <alignment vertical="top"/>
    </xf>
    <xf numFmtId="0" fontId="11" fillId="0" borderId="0" xfId="0" applyFont="1" applyAlignment="1">
      <alignment vertical="center" wrapText="1"/>
    </xf>
    <xf numFmtId="0" fontId="10" fillId="0" borderId="6" xfId="0" applyFont="1" applyBorder="1" applyAlignment="1">
      <alignment horizontal="center" vertical="center"/>
    </xf>
    <xf numFmtId="0" fontId="10" fillId="0" borderId="9" xfId="0" applyFont="1" applyBorder="1" applyAlignment="1">
      <alignment horizontal="center" vertical="center"/>
    </xf>
    <xf numFmtId="2" fontId="13" fillId="4" borderId="0" xfId="0" applyNumberFormat="1" applyFont="1" applyFill="1" applyAlignment="1">
      <alignment horizontal="center" vertical="center"/>
    </xf>
    <xf numFmtId="166" fontId="13" fillId="4" borderId="0" xfId="0" applyNumberFormat="1" applyFont="1" applyFill="1" applyAlignment="1">
      <alignment horizontal="center" vertical="center"/>
    </xf>
    <xf numFmtId="10" fontId="0" fillId="0" borderId="0" xfId="1" applyNumberFormat="1" applyFont="1" applyBorder="1"/>
    <xf numFmtId="2" fontId="0" fillId="0" borderId="0" xfId="0" applyNumberFormat="1"/>
    <xf numFmtId="2" fontId="9" fillId="0" borderId="7" xfId="0" applyNumberFormat="1" applyFont="1" applyBorder="1" applyAlignment="1">
      <alignment horizontal="center" vertical="center"/>
    </xf>
    <xf numFmtId="0" fontId="14" fillId="0" borderId="0" xfId="0" applyFont="1"/>
    <xf numFmtId="0" fontId="14" fillId="0" borderId="1" xfId="0" applyFont="1" applyBorder="1"/>
    <xf numFmtId="0" fontId="10" fillId="0" borderId="1" xfId="0" applyFont="1" applyBorder="1" applyAlignment="1">
      <alignment vertical="top" wrapText="1"/>
    </xf>
    <xf numFmtId="0" fontId="10" fillId="0" borderId="1" xfId="0" applyFont="1" applyBorder="1" applyAlignment="1">
      <alignment horizontal="center" vertical="center"/>
    </xf>
    <xf numFmtId="0" fontId="14" fillId="0" borderId="1" xfId="0" applyFont="1" applyBorder="1" applyAlignment="1">
      <alignment vertical="top"/>
    </xf>
    <xf numFmtId="0" fontId="0" fillId="0" borderId="0" xfId="0" applyAlignment="1">
      <alignment vertical="top"/>
    </xf>
    <xf numFmtId="0" fontId="14" fillId="0" borderId="1" xfId="0" applyFont="1" applyBorder="1" applyAlignment="1">
      <alignment vertical="center"/>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0" fillId="0" borderId="3" xfId="0" applyBorder="1" applyAlignment="1">
      <alignment vertical="top"/>
    </xf>
    <xf numFmtId="0" fontId="0" fillId="0" borderId="4" xfId="0" applyBorder="1"/>
    <xf numFmtId="0" fontId="0" fillId="0" borderId="43" xfId="0" applyBorder="1"/>
    <xf numFmtId="43" fontId="0" fillId="0" borderId="1" xfId="4" applyFont="1" applyBorder="1"/>
    <xf numFmtId="43" fontId="0" fillId="0" borderId="1" xfId="0" applyNumberFormat="1" applyBorder="1"/>
    <xf numFmtId="0" fontId="0" fillId="0" borderId="45" xfId="0" applyBorder="1" applyAlignment="1">
      <alignment vertical="top"/>
    </xf>
    <xf numFmtId="0" fontId="0" fillId="0" borderId="46" xfId="0" applyBorder="1"/>
    <xf numFmtId="0" fontId="0" fillId="0" borderId="4" xfId="0" applyBorder="1" applyAlignment="1">
      <alignment wrapText="1"/>
    </xf>
    <xf numFmtId="43" fontId="0" fillId="0" borderId="0" xfId="0" applyNumberFormat="1"/>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left" vertical="top"/>
    </xf>
    <xf numFmtId="2" fontId="10"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166" fontId="10" fillId="0" borderId="10" xfId="0" applyNumberFormat="1" applyFont="1" applyBorder="1" applyAlignment="1">
      <alignment horizontal="right" vertical="center"/>
    </xf>
    <xf numFmtId="0" fontId="9" fillId="0" borderId="47" xfId="0" applyFont="1" applyBorder="1" applyAlignment="1">
      <alignment horizontal="center" vertical="center"/>
    </xf>
    <xf numFmtId="10" fontId="14" fillId="0" borderId="0" xfId="1" applyNumberFormat="1" applyFont="1" applyBorder="1"/>
    <xf numFmtId="0" fontId="20" fillId="0" borderId="0" xfId="0" applyFont="1" applyAlignment="1">
      <alignment horizontal="center" vertical="center"/>
    </xf>
    <xf numFmtId="0" fontId="16" fillId="0" borderId="0" xfId="0" applyFont="1" applyAlignment="1">
      <alignment horizontal="center" vertical="center"/>
    </xf>
    <xf numFmtId="0" fontId="14" fillId="0" borderId="1" xfId="0" applyFont="1" applyBorder="1" applyAlignment="1">
      <alignment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166" fontId="9" fillId="0" borderId="43"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vertical="center" wrapText="1"/>
    </xf>
    <xf numFmtId="166" fontId="15" fillId="0" borderId="1" xfId="0" applyNumberFormat="1" applyFont="1" applyBorder="1" applyAlignment="1">
      <alignment horizontal="center" vertical="center"/>
    </xf>
    <xf numFmtId="166" fontId="15" fillId="0" borderId="10" xfId="0" applyNumberFormat="1" applyFont="1" applyBorder="1" applyAlignment="1">
      <alignment horizontal="right" vertical="center"/>
    </xf>
    <xf numFmtId="0" fontId="15" fillId="0" borderId="1" xfId="0" applyFont="1" applyBorder="1" applyAlignment="1">
      <alignment horizontal="center"/>
    </xf>
    <xf numFmtId="0" fontId="21" fillId="0" borderId="1" xfId="0" applyFont="1" applyBorder="1" applyAlignment="1">
      <alignment horizontal="right" vertical="center"/>
    </xf>
    <xf numFmtId="166" fontId="21" fillId="0" borderId="1" xfId="0" applyNumberFormat="1" applyFont="1" applyBorder="1" applyAlignment="1">
      <alignment horizontal="right" vertical="center"/>
    </xf>
    <xf numFmtId="0" fontId="15" fillId="0" borderId="1" xfId="0" applyFont="1" applyBorder="1" applyAlignment="1">
      <alignment vertical="center"/>
    </xf>
    <xf numFmtId="0" fontId="21" fillId="0" borderId="9" xfId="0" applyFont="1" applyBorder="1" applyAlignment="1">
      <alignment horizontal="center" vertical="center"/>
    </xf>
    <xf numFmtId="0" fontId="21" fillId="0" borderId="1" xfId="0" applyFont="1" applyBorder="1" applyAlignment="1">
      <alignment vertical="center" wrapText="1"/>
    </xf>
    <xf numFmtId="166" fontId="21" fillId="0" borderId="10" xfId="0" applyNumberFormat="1" applyFont="1" applyBorder="1" applyAlignment="1">
      <alignment horizontal="right" vertical="center"/>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66" fontId="21" fillId="0" borderId="3" xfId="0" applyNumberFormat="1" applyFont="1" applyBorder="1" applyAlignment="1">
      <alignment horizontal="right" vertical="center"/>
    </xf>
    <xf numFmtId="0" fontId="21" fillId="0" borderId="1" xfId="0" applyFont="1" applyBorder="1" applyAlignment="1">
      <alignment horizontal="left" vertical="center"/>
    </xf>
    <xf numFmtId="0" fontId="15" fillId="0" borderId="1" xfId="0" applyFont="1" applyBorder="1" applyAlignment="1">
      <alignment horizontal="left" vertical="center" wrapText="1"/>
    </xf>
    <xf numFmtId="0" fontId="21" fillId="0" borderId="1" xfId="0" applyFont="1" applyBorder="1" applyAlignment="1">
      <alignment horizontal="left" vertical="center" wrapText="1"/>
    </xf>
    <xf numFmtId="166" fontId="15" fillId="0" borderId="3" xfId="0" applyNumberFormat="1" applyFont="1" applyBorder="1" applyAlignment="1">
      <alignment horizontal="right" vertical="center"/>
    </xf>
    <xf numFmtId="0" fontId="15" fillId="0" borderId="1" xfId="0" applyFont="1" applyBorder="1" applyAlignment="1">
      <alignment horizontal="left" vertical="center"/>
    </xf>
    <xf numFmtId="0" fontId="21" fillId="0" borderId="1" xfId="0" applyFont="1" applyBorder="1" applyAlignment="1">
      <alignment horizontal="center" vertical="center"/>
    </xf>
    <xf numFmtId="166" fontId="10" fillId="0" borderId="8" xfId="5" applyNumberFormat="1" applyFont="1" applyBorder="1" applyAlignment="1">
      <alignment horizontal="center" vertical="center"/>
    </xf>
    <xf numFmtId="0" fontId="15" fillId="0" borderId="1" xfId="0" applyFont="1" applyBorder="1" applyAlignment="1">
      <alignment vertical="top" wrapText="1"/>
    </xf>
    <xf numFmtId="0" fontId="10" fillId="0" borderId="1" xfId="0" applyFont="1" applyBorder="1" applyAlignment="1">
      <alignment horizontal="left" vertical="top"/>
    </xf>
    <xf numFmtId="166" fontId="9" fillId="0" borderId="44" xfId="0" applyNumberFormat="1" applyFont="1" applyBorder="1" applyAlignment="1">
      <alignment horizontal="right" vertical="center"/>
    </xf>
    <xf numFmtId="0" fontId="9" fillId="0" borderId="2" xfId="0" applyFont="1" applyBorder="1" applyAlignment="1">
      <alignment horizontal="center" vertical="center"/>
    </xf>
    <xf numFmtId="166" fontId="10" fillId="0" borderId="34" xfId="5" applyNumberFormat="1" applyFont="1" applyBorder="1" applyAlignment="1">
      <alignment horizontal="center" vertical="center"/>
    </xf>
    <xf numFmtId="0" fontId="21" fillId="0" borderId="1" xfId="0" applyFont="1" applyBorder="1" applyAlignment="1">
      <alignment vertical="top" wrapText="1"/>
    </xf>
    <xf numFmtId="0" fontId="14" fillId="0" borderId="3" xfId="0" applyFont="1" applyBorder="1" applyAlignment="1">
      <alignment horizontal="left" vertical="top"/>
    </xf>
    <xf numFmtId="166" fontId="14" fillId="0" borderId="10" xfId="0" applyNumberFormat="1" applyFont="1" applyBorder="1"/>
    <xf numFmtId="166" fontId="14" fillId="4" borderId="10" xfId="0" applyNumberFormat="1" applyFont="1" applyFill="1" applyBorder="1" applyAlignment="1">
      <alignment horizontal="center"/>
    </xf>
    <xf numFmtId="0" fontId="14" fillId="4" borderId="3" xfId="0" applyFont="1" applyFill="1" applyBorder="1" applyAlignment="1">
      <alignment horizontal="left" vertical="top"/>
    </xf>
    <xf numFmtId="0" fontId="14" fillId="0" borderId="9" xfId="0" applyFont="1" applyBorder="1" applyAlignment="1">
      <alignment horizontal="center" vertical="center"/>
    </xf>
    <xf numFmtId="0" fontId="14" fillId="4" borderId="9" xfId="0" applyFont="1" applyFill="1" applyBorder="1" applyAlignment="1">
      <alignment horizontal="center" vertical="center"/>
    </xf>
    <xf numFmtId="0" fontId="14" fillId="0" borderId="9" xfId="0" applyFont="1" applyBorder="1" applyAlignment="1">
      <alignment horizontal="center" vertical="top"/>
    </xf>
    <xf numFmtId="0" fontId="0" fillId="0" borderId="17" xfId="0" applyBorder="1"/>
    <xf numFmtId="2" fontId="0" fillId="0" borderId="17" xfId="0" applyNumberFormat="1" applyBorder="1"/>
    <xf numFmtId="166" fontId="9" fillId="0" borderId="1" xfId="0" applyNumberFormat="1" applyFont="1" applyBorder="1" applyAlignment="1">
      <alignment horizontal="right" vertical="center"/>
    </xf>
    <xf numFmtId="0" fontId="11" fillId="0" borderId="1" xfId="0" applyFont="1" applyBorder="1" applyAlignment="1">
      <alignment horizontal="left" vertical="center" wrapText="1"/>
    </xf>
    <xf numFmtId="0" fontId="10" fillId="0" borderId="1" xfId="0" applyFont="1" applyBorder="1" applyAlignment="1">
      <alignment horizontal="left" vertical="top" wrapText="1"/>
    </xf>
    <xf numFmtId="0" fontId="14" fillId="0" borderId="9" xfId="0" applyFont="1" applyBorder="1" applyAlignment="1">
      <alignment horizontal="center"/>
    </xf>
    <xf numFmtId="43" fontId="22" fillId="0" borderId="0" xfId="4" applyFont="1"/>
    <xf numFmtId="43" fontId="23" fillId="0" borderId="0" xfId="4" applyFont="1"/>
    <xf numFmtId="43" fontId="24" fillId="0" borderId="0" xfId="4" applyFont="1"/>
    <xf numFmtId="166" fontId="22" fillId="0" borderId="0" xfId="4" applyNumberFormat="1" applyFont="1"/>
    <xf numFmtId="166" fontId="23" fillId="0" borderId="0" xfId="4" applyNumberFormat="1" applyFont="1"/>
    <xf numFmtId="167" fontId="15" fillId="0" borderId="1" xfId="4" applyNumberFormat="1"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5" fillId="0" borderId="14" xfId="0" applyFont="1" applyBorder="1" applyAlignment="1">
      <alignment horizontal="center" vertical="center" wrapText="1"/>
    </xf>
    <xf numFmtId="0" fontId="5" fillId="0" borderId="27" xfId="0" applyFont="1" applyBorder="1" applyAlignment="1">
      <alignment horizontal="center" vertical="center"/>
    </xf>
    <xf numFmtId="1" fontId="6" fillId="0" borderId="19"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4" fillId="0" borderId="19" xfId="0" applyFont="1" applyBorder="1" applyAlignment="1">
      <alignment horizontal="center" wrapText="1"/>
    </xf>
    <xf numFmtId="0" fontId="4" fillId="0" borderId="21" xfId="0" applyFont="1" applyBorder="1" applyAlignment="1">
      <alignment horizont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10" fontId="4" fillId="0" borderId="35" xfId="0" applyNumberFormat="1" applyFont="1" applyBorder="1" applyAlignment="1">
      <alignment horizontal="center"/>
    </xf>
    <xf numFmtId="0" fontId="4" fillId="0" borderId="20" xfId="0" applyFont="1" applyBorder="1" applyAlignment="1">
      <alignment horizontal="center"/>
    </xf>
    <xf numFmtId="0" fontId="3" fillId="0" borderId="0" xfId="0" applyFont="1" applyAlignment="1">
      <alignment horizontal="center" vertical="center"/>
    </xf>
    <xf numFmtId="0" fontId="0" fillId="0" borderId="0" xfId="0" applyAlignment="1">
      <alignment horizontal="center"/>
    </xf>
    <xf numFmtId="2" fontId="13" fillId="4" borderId="24" xfId="0" applyNumberFormat="1" applyFont="1" applyFill="1" applyBorder="1" applyAlignment="1">
      <alignment horizontal="center" vertical="center"/>
    </xf>
    <xf numFmtId="2" fontId="13" fillId="4" borderId="17" xfId="0" applyNumberFormat="1" applyFont="1" applyFill="1" applyBorder="1" applyAlignment="1">
      <alignment horizontal="center" vertical="center"/>
    </xf>
    <xf numFmtId="2" fontId="13" fillId="4" borderId="18" xfId="0" applyNumberFormat="1" applyFont="1" applyFill="1" applyBorder="1" applyAlignment="1">
      <alignment horizontal="center" vertical="center"/>
    </xf>
    <xf numFmtId="2" fontId="13" fillId="4" borderId="33" xfId="0" applyNumberFormat="1" applyFont="1" applyFill="1" applyBorder="1" applyAlignment="1">
      <alignment horizontal="center" vertical="center"/>
    </xf>
    <xf numFmtId="2" fontId="13" fillId="4" borderId="0" xfId="0" applyNumberFormat="1" applyFont="1" applyFill="1" applyAlignment="1">
      <alignment horizontal="center" vertical="center"/>
    </xf>
    <xf numFmtId="2" fontId="13" fillId="4" borderId="32" xfId="0" applyNumberFormat="1" applyFont="1" applyFill="1" applyBorder="1" applyAlignment="1">
      <alignment horizontal="center" vertical="center"/>
    </xf>
    <xf numFmtId="2" fontId="13" fillId="4" borderId="29" xfId="0" applyNumberFormat="1" applyFont="1" applyFill="1" applyBorder="1" applyAlignment="1">
      <alignment horizontal="center" vertical="center"/>
    </xf>
    <xf numFmtId="2" fontId="13" fillId="4" borderId="30" xfId="0" applyNumberFormat="1" applyFont="1" applyFill="1" applyBorder="1" applyAlignment="1">
      <alignment horizontal="center" vertical="center"/>
    </xf>
    <xf numFmtId="2" fontId="13" fillId="4" borderId="31" xfId="0" applyNumberFormat="1" applyFont="1" applyFill="1" applyBorder="1" applyAlignment="1">
      <alignment horizontal="center" vertical="center"/>
    </xf>
    <xf numFmtId="166" fontId="13" fillId="4" borderId="17" xfId="0" applyNumberFormat="1" applyFont="1" applyFill="1" applyBorder="1" applyAlignment="1">
      <alignment horizontal="center" vertical="center"/>
    </xf>
    <xf numFmtId="166" fontId="13" fillId="4" borderId="18" xfId="0" applyNumberFormat="1" applyFont="1" applyFill="1" applyBorder="1" applyAlignment="1">
      <alignment horizontal="center" vertical="center"/>
    </xf>
    <xf numFmtId="166" fontId="13" fillId="4" borderId="0" xfId="0" applyNumberFormat="1" applyFont="1" applyFill="1" applyAlignment="1">
      <alignment horizontal="center" vertical="center"/>
    </xf>
    <xf numFmtId="166" fontId="13" fillId="4" borderId="32" xfId="0" applyNumberFormat="1" applyFont="1" applyFill="1" applyBorder="1" applyAlignment="1">
      <alignment horizontal="center" vertical="center"/>
    </xf>
    <xf numFmtId="166" fontId="13" fillId="4" borderId="30" xfId="0" applyNumberFormat="1" applyFont="1" applyFill="1" applyBorder="1" applyAlignment="1">
      <alignment horizontal="center" vertical="center"/>
    </xf>
    <xf numFmtId="166" fontId="13" fillId="4" borderId="31" xfId="0" applyNumberFormat="1"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1" fontId="6" fillId="0" borderId="0" xfId="0" applyNumberFormat="1"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horizontal="center" vertical="center" wrapText="1"/>
    </xf>
    <xf numFmtId="166" fontId="13" fillId="4" borderId="24" xfId="0" applyNumberFormat="1" applyFont="1" applyFill="1" applyBorder="1" applyAlignment="1">
      <alignment horizontal="center" vertical="center"/>
    </xf>
    <xf numFmtId="166" fontId="13" fillId="4" borderId="33" xfId="0" applyNumberFormat="1" applyFont="1" applyFill="1" applyBorder="1" applyAlignment="1">
      <alignment horizontal="center" vertical="center"/>
    </xf>
    <xf numFmtId="166" fontId="13" fillId="4" borderId="29" xfId="0" applyNumberFormat="1" applyFont="1" applyFill="1" applyBorder="1" applyAlignment="1">
      <alignment horizontal="center" vertical="center"/>
    </xf>
    <xf numFmtId="0" fontId="9" fillId="0" borderId="3"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0" borderId="3"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4" fillId="0" borderId="19" xfId="0" applyFont="1" applyBorder="1" applyAlignment="1">
      <alignment horizontal="center"/>
    </xf>
    <xf numFmtId="0" fontId="5" fillId="0" borderId="14" xfId="0" applyFont="1" applyBorder="1" applyAlignment="1">
      <alignment horizontal="center" vertical="center"/>
    </xf>
    <xf numFmtId="0" fontId="4" fillId="0" borderId="25" xfId="0" applyFont="1" applyBorder="1" applyAlignment="1">
      <alignment horizontal="center" wrapText="1"/>
    </xf>
    <xf numFmtId="0" fontId="4" fillId="0" borderId="23" xfId="0" applyFont="1" applyBorder="1" applyAlignment="1">
      <alignment horizontal="center" wrapText="1"/>
    </xf>
    <xf numFmtId="0" fontId="4" fillId="0" borderId="42" xfId="0" applyFont="1" applyBorder="1" applyAlignment="1">
      <alignment horizontal="center" wrapText="1"/>
    </xf>
    <xf numFmtId="166" fontId="9" fillId="0" borderId="3" xfId="0" applyNumberFormat="1" applyFont="1" applyBorder="1" applyAlignment="1">
      <alignment horizontal="center" vertical="center"/>
    </xf>
    <xf numFmtId="166" fontId="9" fillId="0" borderId="43" xfId="0" applyNumberFormat="1" applyFont="1" applyBorder="1" applyAlignment="1">
      <alignment horizontal="center" vertical="center"/>
    </xf>
    <xf numFmtId="166" fontId="9" fillId="0" borderId="44" xfId="0" applyNumberFormat="1" applyFont="1"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10" fontId="0" fillId="0" borderId="3" xfId="0" applyNumberFormat="1" applyBorder="1" applyAlignment="1">
      <alignment horizontal="center"/>
    </xf>
    <xf numFmtId="10" fontId="0" fillId="0" borderId="4" xfId="0" applyNumberFormat="1" applyBorder="1" applyAlignment="1">
      <alignment horizontal="center"/>
    </xf>
    <xf numFmtId="0" fontId="19" fillId="0" borderId="24"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7" fillId="0" borderId="24" xfId="0" applyFont="1" applyBorder="1" applyAlignment="1">
      <alignment horizontal="center" vertical="center"/>
    </xf>
    <xf numFmtId="0" fontId="17" fillId="0" borderId="17" xfId="0" applyFont="1" applyBorder="1" applyAlignment="1">
      <alignment horizontal="center" vertical="center"/>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0" fillId="0" borderId="6" xfId="0" applyBorder="1" applyAlignment="1">
      <alignment horizontal="center"/>
    </xf>
    <xf numFmtId="4" fontId="0" fillId="0" borderId="7" xfId="0" applyNumberFormat="1" applyBorder="1" applyAlignment="1">
      <alignment horizontal="center"/>
    </xf>
    <xf numFmtId="0" fontId="0" fillId="0" borderId="7" xfId="0" applyBorder="1" applyAlignment="1">
      <alignment horizontal="right"/>
    </xf>
    <xf numFmtId="0" fontId="0" fillId="0" borderId="7" xfId="0" applyBorder="1" applyAlignment="1">
      <alignment horizontal="center"/>
    </xf>
    <xf numFmtId="0" fontId="0" fillId="0" borderId="11" xfId="0" applyBorder="1" applyAlignment="1">
      <alignment horizontal="center"/>
    </xf>
    <xf numFmtId="4" fontId="0" fillId="0" borderId="12" xfId="0" applyNumberFormat="1" applyBorder="1" applyAlignment="1">
      <alignment horizontal="center"/>
    </xf>
    <xf numFmtId="0" fontId="0" fillId="0" borderId="12" xfId="0" applyBorder="1" applyAlignment="1">
      <alignment horizontal="right"/>
    </xf>
    <xf numFmtId="0" fontId="0" fillId="0" borderId="12" xfId="0" applyBorder="1" applyAlignment="1">
      <alignment horizontal="center"/>
    </xf>
    <xf numFmtId="10" fontId="0" fillId="5" borderId="37" xfId="0" applyNumberFormat="1" applyFill="1" applyBorder="1" applyAlignment="1">
      <alignment horizontal="center"/>
    </xf>
    <xf numFmtId="4" fontId="0" fillId="5" borderId="26" xfId="0" applyNumberFormat="1" applyFill="1" applyBorder="1" applyAlignment="1">
      <alignment horizontal="center"/>
    </xf>
    <xf numFmtId="0" fontId="0" fillId="0" borderId="2"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0" fontId="0" fillId="5" borderId="40" xfId="0" applyNumberFormat="1" applyFill="1" applyBorder="1" applyAlignment="1">
      <alignment horizontal="center"/>
    </xf>
    <xf numFmtId="4" fontId="0" fillId="5" borderId="41" xfId="0" applyNumberFormat="1" applyFill="1" applyBorder="1" applyAlignment="1">
      <alignment horizontal="center"/>
    </xf>
    <xf numFmtId="0" fontId="0" fillId="0" borderId="29" xfId="0" applyBorder="1" applyAlignment="1">
      <alignment horizontal="center" vertical="top" wrapText="1"/>
    </xf>
    <xf numFmtId="0" fontId="0" fillId="0" borderId="31" xfId="0" applyBorder="1" applyAlignment="1">
      <alignment horizontal="center" vertical="top" wrapText="1"/>
    </xf>
    <xf numFmtId="10" fontId="0" fillId="5" borderId="3" xfId="0" applyNumberFormat="1" applyFill="1" applyBorder="1" applyAlignment="1">
      <alignment horizontal="center"/>
    </xf>
    <xf numFmtId="4" fontId="0" fillId="5" borderId="4" xfId="0" applyNumberFormat="1" applyFill="1" applyBorder="1" applyAlignment="1">
      <alignment horizontal="center"/>
    </xf>
    <xf numFmtId="10" fontId="0" fillId="0" borderId="40" xfId="0" applyNumberFormat="1" applyBorder="1" applyAlignment="1">
      <alignment horizontal="center"/>
    </xf>
    <xf numFmtId="10" fontId="0" fillId="0" borderId="41" xfId="0" applyNumberFormat="1" applyBorder="1" applyAlignment="1">
      <alignment horizontal="center"/>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5" fillId="0" borderId="0" xfId="0" applyFont="1" applyAlignment="1">
      <alignment horizontal="center" vertical="center"/>
    </xf>
    <xf numFmtId="0" fontId="15" fillId="0" borderId="0" xfId="0" applyFont="1" applyAlignment="1">
      <alignment vertical="center"/>
    </xf>
    <xf numFmtId="166" fontId="15" fillId="0" borderId="0" xfId="0" applyNumberFormat="1" applyFont="1" applyAlignment="1">
      <alignment horizontal="center" vertical="center"/>
    </xf>
    <xf numFmtId="0" fontId="15" fillId="0" borderId="0" xfId="0" applyFont="1" applyAlignment="1">
      <alignment vertical="center" wrapText="1"/>
    </xf>
    <xf numFmtId="0" fontId="25" fillId="0" borderId="0" xfId="0" applyFont="1" applyAlignment="1">
      <alignment horizontal="center"/>
    </xf>
    <xf numFmtId="0" fontId="26" fillId="0" borderId="0" xfId="0" applyFont="1" applyAlignment="1">
      <alignment horizontal="center" vertical="center"/>
    </xf>
    <xf numFmtId="2" fontId="27" fillId="0" borderId="0" xfId="0" applyNumberFormat="1" applyFont="1" applyAlignment="1">
      <alignment horizontal="center" vertical="center"/>
    </xf>
    <xf numFmtId="1" fontId="27" fillId="0" borderId="0" xfId="0" applyNumberFormat="1" applyFont="1" applyAlignment="1">
      <alignment horizontal="center" vertical="center" wrapText="1"/>
    </xf>
    <xf numFmtId="0" fontId="25" fillId="0" borderId="0" xfId="0" applyFont="1" applyAlignment="1">
      <alignment horizont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165" fontId="27" fillId="0" borderId="0" xfId="0" applyNumberFormat="1" applyFont="1" applyAlignment="1">
      <alignment horizontal="center" vertical="center"/>
    </xf>
    <xf numFmtId="0" fontId="30" fillId="0" borderId="0" xfId="0" applyFont="1" applyAlignment="1">
      <alignment vertical="center"/>
    </xf>
    <xf numFmtId="0" fontId="29" fillId="0" borderId="0" xfId="0" applyFont="1" applyAlignment="1">
      <alignment vertical="center"/>
    </xf>
    <xf numFmtId="0" fontId="15" fillId="0" borderId="0" xfId="0" applyFont="1" applyAlignment="1">
      <alignment horizontal="left" vertical="center" wrapText="1"/>
    </xf>
    <xf numFmtId="0" fontId="31" fillId="0" borderId="0" xfId="0" applyFont="1"/>
    <xf numFmtId="0" fontId="31" fillId="0" borderId="6" xfId="0" applyFont="1" applyBorder="1" applyAlignment="1">
      <alignment horizontal="center"/>
    </xf>
    <xf numFmtId="0" fontId="31" fillId="0" borderId="8" xfId="0" applyFont="1" applyBorder="1" applyAlignment="1">
      <alignment horizontal="center"/>
    </xf>
    <xf numFmtId="0" fontId="32" fillId="0" borderId="14" xfId="0" applyFont="1" applyBorder="1" applyAlignment="1">
      <alignment horizontal="center" vertical="center"/>
    </xf>
    <xf numFmtId="0" fontId="32" fillId="0" borderId="27" xfId="0" applyFont="1" applyBorder="1" applyAlignment="1">
      <alignment horizontal="center" vertical="center"/>
    </xf>
    <xf numFmtId="2" fontId="33" fillId="0" borderId="5" xfId="0" applyNumberFormat="1" applyFont="1" applyBorder="1" applyAlignment="1">
      <alignment horizontal="center" vertical="center"/>
    </xf>
    <xf numFmtId="1" fontId="33" fillId="0" borderId="19" xfId="0" applyNumberFormat="1" applyFont="1" applyBorder="1" applyAlignment="1">
      <alignment horizontal="center" vertical="center" wrapText="1"/>
    </xf>
    <xf numFmtId="1" fontId="33" fillId="0" borderId="35" xfId="0" applyNumberFormat="1" applyFont="1" applyBorder="1" applyAlignment="1">
      <alignment horizontal="center" vertical="center" wrapText="1"/>
    </xf>
    <xf numFmtId="1" fontId="33" fillId="0" borderId="20" xfId="0" applyNumberFormat="1" applyFont="1" applyBorder="1" applyAlignment="1">
      <alignment horizontal="center" vertical="center" wrapText="1"/>
    </xf>
    <xf numFmtId="0" fontId="31" fillId="0" borderId="9" xfId="0" applyFont="1" applyBorder="1" applyAlignment="1">
      <alignment horizontal="center"/>
    </xf>
    <xf numFmtId="0" fontId="31" fillId="0" borderId="10" xfId="0" applyFont="1" applyBorder="1" applyAlignment="1">
      <alignment horizontal="center"/>
    </xf>
    <xf numFmtId="0" fontId="31" fillId="0" borderId="19" xfId="0" applyFont="1" applyBorder="1" applyAlignment="1">
      <alignment horizontal="center" vertical="top" wrapText="1"/>
    </xf>
    <xf numFmtId="0" fontId="31" fillId="0" borderId="21" xfId="0" applyFont="1" applyBorder="1" applyAlignment="1">
      <alignment horizontal="center" vertical="top" wrapText="1"/>
    </xf>
    <xf numFmtId="0" fontId="31" fillId="0" borderId="19" xfId="0" applyFont="1" applyBorder="1" applyAlignment="1">
      <alignment horizontal="center" vertical="center"/>
    </xf>
    <xf numFmtId="0" fontId="31" fillId="0" borderId="35" xfId="0" applyFont="1" applyBorder="1" applyAlignment="1">
      <alignment horizontal="center" vertical="center"/>
    </xf>
    <xf numFmtId="0" fontId="31" fillId="0" borderId="20" xfId="0" applyFont="1" applyBorder="1" applyAlignment="1">
      <alignment horizontal="center" vertical="center"/>
    </xf>
    <xf numFmtId="0" fontId="31" fillId="0" borderId="19" xfId="0" applyFont="1" applyBorder="1" applyAlignment="1">
      <alignment horizontal="center" wrapText="1"/>
    </xf>
    <xf numFmtId="0" fontId="31" fillId="0" borderId="21" xfId="0" applyFont="1" applyBorder="1" applyAlignment="1">
      <alignment horizontal="center" wrapText="1"/>
    </xf>
    <xf numFmtId="2" fontId="33" fillId="0" borderId="16" xfId="0" applyNumberFormat="1" applyFont="1" applyBorder="1" applyAlignment="1">
      <alignment horizontal="center" vertical="center"/>
    </xf>
    <xf numFmtId="0" fontId="31" fillId="0" borderId="3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1" xfId="0" applyFont="1" applyBorder="1" applyAlignment="1">
      <alignment horizontal="center"/>
    </xf>
    <xf numFmtId="0" fontId="31" fillId="0" borderId="13" xfId="0" applyFont="1" applyBorder="1" applyAlignment="1">
      <alignment horizontal="center"/>
    </xf>
    <xf numFmtId="0" fontId="31" fillId="0" borderId="35" xfId="0" applyFont="1" applyBorder="1" applyAlignment="1">
      <alignment horizontal="center"/>
    </xf>
    <xf numFmtId="0" fontId="31" fillId="0" borderId="20" xfId="0" applyFont="1" applyBorder="1" applyAlignment="1">
      <alignment horizontal="center"/>
    </xf>
    <xf numFmtId="0" fontId="33" fillId="0" borderId="5" xfId="0" applyFont="1" applyBorder="1" applyAlignment="1">
      <alignment horizontal="center" vertical="center"/>
    </xf>
    <xf numFmtId="0" fontId="34" fillId="0" borderId="25" xfId="0" applyFont="1" applyBorder="1" applyAlignment="1">
      <alignment horizontal="center" vertical="center"/>
    </xf>
    <xf numFmtId="0" fontId="33" fillId="0" borderId="23" xfId="0" applyFont="1" applyBorder="1" applyAlignment="1">
      <alignment horizontal="center" vertical="center"/>
    </xf>
    <xf numFmtId="165" fontId="33" fillId="0" borderId="20" xfId="0" applyNumberFormat="1"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6" fillId="0" borderId="15" xfId="0" applyFont="1" applyBorder="1" applyAlignment="1">
      <alignment vertical="center"/>
    </xf>
    <xf numFmtId="0" fontId="37" fillId="9" borderId="24" xfId="0" applyFont="1" applyFill="1" applyBorder="1" applyAlignment="1">
      <alignment horizontal="center" vertical="center"/>
    </xf>
    <xf numFmtId="0" fontId="37" fillId="9" borderId="17" xfId="0" applyFont="1" applyFill="1" applyBorder="1" applyAlignment="1">
      <alignment horizontal="center" vertical="center"/>
    </xf>
    <xf numFmtId="0" fontId="37" fillId="9" borderId="18" xfId="0" applyFont="1" applyFill="1" applyBorder="1" applyAlignment="1">
      <alignment horizontal="center" vertical="center"/>
    </xf>
    <xf numFmtId="0" fontId="32" fillId="6" borderId="33" xfId="0" applyFont="1" applyFill="1" applyBorder="1" applyAlignment="1">
      <alignment horizontal="center" vertical="center"/>
    </xf>
    <xf numFmtId="0" fontId="32" fillId="6" borderId="32" xfId="0" applyFont="1" applyFill="1" applyBorder="1" applyAlignment="1">
      <alignment horizontal="center" vertical="center"/>
    </xf>
    <xf numFmtId="0" fontId="32" fillId="6" borderId="31" xfId="0" applyFont="1" applyFill="1" applyBorder="1" applyAlignment="1">
      <alignment horizontal="center" vertical="center"/>
    </xf>
    <xf numFmtId="0" fontId="38" fillId="0" borderId="31" xfId="0" applyFont="1" applyBorder="1" applyAlignment="1">
      <alignment horizontal="center" vertical="center"/>
    </xf>
    <xf numFmtId="10" fontId="38" fillId="0" borderId="31" xfId="1" applyNumberFormat="1" applyFont="1" applyBorder="1" applyAlignment="1">
      <alignment horizontal="center" vertical="center"/>
    </xf>
    <xf numFmtId="9" fontId="38" fillId="0" borderId="31" xfId="1" applyFont="1" applyBorder="1" applyAlignment="1">
      <alignment horizontal="center" vertical="center"/>
    </xf>
    <xf numFmtId="9" fontId="32" fillId="7" borderId="31" xfId="1" applyFont="1" applyFill="1" applyBorder="1" applyAlignment="1">
      <alignment horizontal="center" vertical="center"/>
    </xf>
    <xf numFmtId="44" fontId="38" fillId="0" borderId="31" xfId="2" applyFont="1" applyBorder="1" applyAlignment="1">
      <alignment horizontal="center" vertical="center"/>
    </xf>
    <xf numFmtId="44" fontId="32" fillId="7" borderId="31" xfId="2" applyFont="1" applyFill="1" applyBorder="1" applyAlignment="1">
      <alignment vertical="center"/>
    </xf>
    <xf numFmtId="10" fontId="38" fillId="8" borderId="31" xfId="1" applyNumberFormat="1" applyFont="1" applyFill="1" applyBorder="1" applyAlignment="1">
      <alignment horizontal="center" vertical="center"/>
    </xf>
    <xf numFmtId="0" fontId="32" fillId="6" borderId="29" xfId="0" applyFont="1" applyFill="1" applyBorder="1" applyAlignment="1">
      <alignment horizontal="center" vertical="center"/>
    </xf>
    <xf numFmtId="0" fontId="32" fillId="6" borderId="31" xfId="0" applyFont="1" applyFill="1" applyBorder="1" applyAlignment="1">
      <alignment horizontal="center" vertical="center"/>
    </xf>
    <xf numFmtId="44" fontId="32" fillId="6" borderId="31" xfId="0" applyNumberFormat="1" applyFont="1" applyFill="1" applyBorder="1" applyAlignment="1">
      <alignment horizontal="center" vertical="center"/>
    </xf>
    <xf numFmtId="0" fontId="31" fillId="0" borderId="33" xfId="0" applyFont="1" applyBorder="1"/>
    <xf numFmtId="0" fontId="35" fillId="0" borderId="0" xfId="0" applyFont="1" applyAlignment="1">
      <alignment horizontal="left"/>
    </xf>
    <xf numFmtId="0" fontId="35" fillId="0" borderId="0" xfId="0" applyFont="1" applyAlignment="1">
      <alignment horizontal="left"/>
    </xf>
    <xf numFmtId="0" fontId="35" fillId="0" borderId="0" xfId="0" applyFont="1" applyAlignment="1">
      <alignment horizontal="justify"/>
    </xf>
    <xf numFmtId="0" fontId="35" fillId="0" borderId="0" xfId="0" applyFont="1"/>
    <xf numFmtId="0" fontId="31" fillId="0" borderId="29" xfId="0" applyFont="1" applyBorder="1"/>
    <xf numFmtId="0" fontId="31" fillId="0" borderId="30" xfId="0" applyFont="1" applyBorder="1"/>
    <xf numFmtId="0" fontId="35" fillId="0" borderId="0" xfId="0" applyFont="1" applyAlignment="1">
      <alignment horizontal="center" vertical="center"/>
    </xf>
    <xf numFmtId="0" fontId="35" fillId="0" borderId="0" xfId="0" applyFont="1" applyAlignment="1">
      <alignment vertical="center"/>
    </xf>
    <xf numFmtId="166" fontId="35" fillId="0" borderId="0" xfId="0" applyNumberFormat="1" applyFont="1" applyAlignment="1">
      <alignment horizontal="center" vertical="center"/>
    </xf>
    <xf numFmtId="0" fontId="32" fillId="6" borderId="32" xfId="0" applyFont="1" applyFill="1" applyBorder="1" applyAlignment="1">
      <alignment horizontal="center" vertical="center" wrapText="1"/>
    </xf>
    <xf numFmtId="0" fontId="32" fillId="6" borderId="32" xfId="0" applyFont="1" applyFill="1" applyBorder="1" applyAlignment="1">
      <alignment horizontal="center" vertical="center"/>
    </xf>
    <xf numFmtId="0" fontId="38" fillId="0" borderId="6" xfId="0" applyFont="1" applyBorder="1" applyAlignment="1">
      <alignment horizontal="center" vertical="center"/>
    </xf>
    <xf numFmtId="0" fontId="38" fillId="0" borderId="42" xfId="0" applyFont="1" applyBorder="1" applyAlignment="1">
      <alignment horizontal="center" vertical="center"/>
    </xf>
    <xf numFmtId="10" fontId="38" fillId="0" borderId="42" xfId="1" applyNumberFormat="1" applyFont="1" applyBorder="1" applyAlignment="1">
      <alignment horizontal="center" vertical="center"/>
    </xf>
    <xf numFmtId="9" fontId="38" fillId="0" borderId="42" xfId="1" applyFont="1" applyBorder="1" applyAlignment="1">
      <alignment horizontal="center" vertical="center"/>
    </xf>
    <xf numFmtId="0" fontId="38" fillId="0" borderId="8" xfId="0" applyFont="1" applyBorder="1" applyAlignment="1">
      <alignment horizontal="center" vertical="center"/>
    </xf>
    <xf numFmtId="0" fontId="38" fillId="0" borderId="11" xfId="0" applyFont="1" applyBorder="1" applyAlignment="1">
      <alignment horizontal="center" vertical="center"/>
    </xf>
    <xf numFmtId="0" fontId="38" fillId="0" borderId="13" xfId="0" applyFont="1" applyBorder="1" applyAlignment="1">
      <alignment horizontal="center" vertical="center"/>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cellXfs>
  <cellStyles count="6">
    <cellStyle name="Moeda" xfId="5" builtinId="4"/>
    <cellStyle name="Moeda 2" xfId="2"/>
    <cellStyle name="Normal" xfId="0" builtinId="0"/>
    <cellStyle name="Porcentagem" xfId="1" builtinId="5"/>
    <cellStyle name="Vírgula" xfId="4" builtinId="3"/>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184447</xdr:colOff>
      <xdr:row>1</xdr:row>
      <xdr:rowOff>41412</xdr:rowOff>
    </xdr:from>
    <xdr:to>
      <xdr:col>2</xdr:col>
      <xdr:colOff>662608</xdr:colOff>
      <xdr:row>4</xdr:row>
      <xdr:rowOff>74542</xdr:rowOff>
    </xdr:to>
    <xdr:pic>
      <xdr:nvPicPr>
        <xdr:cNvPr id="3" name="Imagem 2" descr="Imagem 009">
          <a:extLst>
            <a:ext uri="{FF2B5EF4-FFF2-40B4-BE49-F238E27FC236}">
              <a16:creationId xmlns:a16="http://schemas.microsoft.com/office/drawing/2014/main" xmlns="" id="{1B5208F2-EFE4-4630-BEEA-BB23C3F05200}"/>
            </a:ext>
          </a:extLst>
        </xdr:cNvPr>
        <xdr:cNvPicPr/>
      </xdr:nvPicPr>
      <xdr:blipFill>
        <a:blip xmlns:r="http://schemas.openxmlformats.org/officeDocument/2006/relationships" r:embed="rId1" cstate="print"/>
        <a:srcRect/>
        <a:stretch>
          <a:fillRect/>
        </a:stretch>
      </xdr:blipFill>
      <xdr:spPr bwMode="auto">
        <a:xfrm>
          <a:off x="300404" y="66260"/>
          <a:ext cx="1099356" cy="8862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8282</xdr:rowOff>
    </xdr:from>
    <xdr:to>
      <xdr:col>2</xdr:col>
      <xdr:colOff>734923</xdr:colOff>
      <xdr:row>4</xdr:row>
      <xdr:rowOff>208976</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273327" y="33130"/>
          <a:ext cx="1198748" cy="921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306457</xdr:colOff>
      <xdr:row>1</xdr:row>
      <xdr:rowOff>231913</xdr:rowOff>
    </xdr:from>
    <xdr:to>
      <xdr:col>2</xdr:col>
      <xdr:colOff>784618</xdr:colOff>
      <xdr:row>4</xdr:row>
      <xdr:rowOff>265043</xdr:rowOff>
    </xdr:to>
    <xdr:pic>
      <xdr:nvPicPr>
        <xdr:cNvPr id="4" name="Imagem 3" descr="Imagem 009">
          <a:extLst>
            <a:ext uri="{FF2B5EF4-FFF2-40B4-BE49-F238E27FC236}">
              <a16:creationId xmlns:a16="http://schemas.microsoft.com/office/drawing/2014/main" xmlns="" id="{1B5208F2-EFE4-4630-BEEA-BB23C3F05200}"/>
            </a:ext>
          </a:extLst>
        </xdr:cNvPr>
        <xdr:cNvPicPr/>
      </xdr:nvPicPr>
      <xdr:blipFill>
        <a:blip xmlns:r="http://schemas.openxmlformats.org/officeDocument/2006/relationships" r:embed="rId1" cstate="print"/>
        <a:srcRect/>
        <a:stretch>
          <a:fillRect/>
        </a:stretch>
      </xdr:blipFill>
      <xdr:spPr bwMode="auto">
        <a:xfrm>
          <a:off x="422414" y="496956"/>
          <a:ext cx="1099356" cy="88623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142876</xdr:colOff>
      <xdr:row>0</xdr:row>
      <xdr:rowOff>66675</xdr:rowOff>
    </xdr:from>
    <xdr:to>
      <xdr:col>1</xdr:col>
      <xdr:colOff>257176</xdr:colOff>
      <xdr:row>1</xdr:row>
      <xdr:rowOff>428625</xdr:rowOff>
    </xdr:to>
    <xdr:pic>
      <xdr:nvPicPr>
        <xdr:cNvPr id="4" name="Imagem 3" descr="Imagem 009">
          <a:extLst>
            <a:ext uri="{FF2B5EF4-FFF2-40B4-BE49-F238E27FC236}">
              <a16:creationId xmlns:a16="http://schemas.microsoft.com/office/drawing/2014/main" xmlns="" id="{1B5208F2-EFE4-4630-BEEA-BB23C3F05200}"/>
            </a:ext>
          </a:extLst>
        </xdr:cNvPr>
        <xdr:cNvPicPr/>
      </xdr:nvPicPr>
      <xdr:blipFill>
        <a:blip xmlns:r="http://schemas.openxmlformats.org/officeDocument/2006/relationships" r:embed="rId1" cstate="print"/>
        <a:srcRect/>
        <a:stretch>
          <a:fillRect/>
        </a:stretch>
      </xdr:blipFill>
      <xdr:spPr bwMode="auto">
        <a:xfrm>
          <a:off x="142876" y="66675"/>
          <a:ext cx="1371600"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9"/>
  <sheetViews>
    <sheetView zoomScale="115" zoomScaleNormal="115" zoomScaleSheetLayoutView="100" workbookViewId="0">
      <selection activeCell="E12" sqref="E12"/>
    </sheetView>
  </sheetViews>
  <sheetFormatPr defaultRowHeight="15" x14ac:dyDescent="0.25"/>
  <cols>
    <col min="1" max="1" width="1.7109375" customWidth="1"/>
    <col min="2" max="2" width="9.28515625" customWidth="1"/>
    <col min="3" max="3" width="13" customWidth="1"/>
    <col min="4" max="4" width="9.85546875" customWidth="1"/>
    <col min="5" max="5" width="46.5703125" customWidth="1"/>
    <col min="6" max="6" width="8.5703125" customWidth="1"/>
    <col min="7" max="7" width="6.140625" customWidth="1"/>
    <col min="8" max="9" width="12.140625" customWidth="1"/>
    <col min="10" max="10" width="14.140625" customWidth="1"/>
    <col min="11" max="11" width="10.140625" customWidth="1"/>
    <col min="12" max="12" width="15.5703125" style="209" bestFit="1" customWidth="1"/>
    <col min="13" max="13" width="11.5703125" customWidth="1"/>
  </cols>
  <sheetData>
    <row r="1" spans="2:11" ht="2.25" customHeight="1" thickBot="1" x14ac:dyDescent="0.3"/>
    <row r="2" spans="2:11" ht="28.5" customHeight="1" thickBot="1" x14ac:dyDescent="0.3">
      <c r="B2" s="215"/>
      <c r="C2" s="216"/>
      <c r="D2" s="221" t="s">
        <v>430</v>
      </c>
      <c r="E2" s="222"/>
      <c r="F2" s="4" t="s">
        <v>1</v>
      </c>
      <c r="G2" s="223" t="s">
        <v>2</v>
      </c>
      <c r="H2" s="224"/>
      <c r="I2" s="224"/>
      <c r="J2" s="225"/>
      <c r="K2" s="32"/>
    </row>
    <row r="3" spans="2:11" ht="15" customHeight="1" thickBot="1" x14ac:dyDescent="0.3">
      <c r="B3" s="217"/>
      <c r="C3" s="218"/>
      <c r="D3" s="226" t="s">
        <v>431</v>
      </c>
      <c r="E3" s="227"/>
      <c r="F3" s="4" t="s">
        <v>3</v>
      </c>
      <c r="G3" s="228" t="s">
        <v>4</v>
      </c>
      <c r="H3" s="229"/>
      <c r="I3" s="229"/>
      <c r="J3" s="230"/>
      <c r="K3" s="33"/>
    </row>
    <row r="4" spans="2:11" ht="23.25" customHeight="1" thickBot="1" x14ac:dyDescent="0.3">
      <c r="B4" s="217"/>
      <c r="C4" s="218"/>
      <c r="D4" s="231" t="s">
        <v>432</v>
      </c>
      <c r="E4" s="232"/>
      <c r="F4" s="3" t="s">
        <v>5</v>
      </c>
      <c r="G4" s="233" t="s">
        <v>6</v>
      </c>
      <c r="H4" s="234"/>
      <c r="I4" s="234"/>
      <c r="J4" s="235"/>
      <c r="K4" s="34"/>
    </row>
    <row r="5" spans="2:11" ht="18" customHeight="1" thickBot="1" x14ac:dyDescent="0.3">
      <c r="B5" s="219"/>
      <c r="C5" s="220"/>
      <c r="D5" s="228" t="s">
        <v>87</v>
      </c>
      <c r="E5" s="230"/>
      <c r="F5" s="4" t="s">
        <v>53</v>
      </c>
      <c r="G5" s="236">
        <f>BDI!I6</f>
        <v>0.24529999999999999</v>
      </c>
      <c r="H5" s="237"/>
      <c r="I5" s="237"/>
      <c r="J5" s="227"/>
      <c r="K5" s="35"/>
    </row>
    <row r="6" spans="2:11" ht="15" customHeight="1" thickBot="1" x14ac:dyDescent="0.3">
      <c r="B6" s="5" t="s">
        <v>8</v>
      </c>
      <c r="C6" s="5" t="s">
        <v>12</v>
      </c>
      <c r="D6" s="29" t="s">
        <v>13</v>
      </c>
      <c r="E6" s="5" t="s">
        <v>9</v>
      </c>
      <c r="F6" s="4" t="s">
        <v>36</v>
      </c>
      <c r="G6" s="5" t="s">
        <v>35</v>
      </c>
      <c r="H6" s="28" t="s">
        <v>10</v>
      </c>
      <c r="I6" s="30" t="s">
        <v>18</v>
      </c>
      <c r="J6" s="5" t="s">
        <v>11</v>
      </c>
      <c r="K6" s="36"/>
    </row>
    <row r="7" spans="2:11" ht="12.95" customHeight="1" thickBot="1" x14ac:dyDescent="0.3">
      <c r="B7" s="126"/>
      <c r="C7" s="10"/>
      <c r="D7" s="10"/>
      <c r="E7" s="27"/>
      <c r="F7" s="10"/>
      <c r="G7" s="10"/>
      <c r="H7" s="10"/>
      <c r="I7" s="10"/>
      <c r="J7" s="189"/>
      <c r="K7" s="17"/>
    </row>
    <row r="8" spans="2:11" ht="12.95" customHeight="1" x14ac:dyDescent="0.25">
      <c r="B8" s="126">
        <v>1</v>
      </c>
      <c r="C8" s="10"/>
      <c r="D8" s="10"/>
      <c r="E8" s="27" t="s">
        <v>184</v>
      </c>
      <c r="F8" s="193"/>
      <c r="G8" s="193"/>
      <c r="H8" s="193"/>
      <c r="I8" s="193"/>
      <c r="J8" s="194"/>
      <c r="K8" s="17"/>
    </row>
    <row r="9" spans="2:11" ht="56.25" x14ac:dyDescent="0.25">
      <c r="B9" s="169" t="s">
        <v>22</v>
      </c>
      <c r="C9" s="58" t="str">
        <f>'Memoria de Calculo'!C9</f>
        <v>ED-16660</v>
      </c>
      <c r="D9" s="58" t="s">
        <v>16</v>
      </c>
      <c r="E9" s="170" t="s">
        <v>76</v>
      </c>
      <c r="F9" s="58">
        <v>4.5</v>
      </c>
      <c r="G9" s="58" t="s">
        <v>17</v>
      </c>
      <c r="H9" s="171">
        <v>211.11</v>
      </c>
      <c r="I9" s="171">
        <f t="shared" ref="I9:I11" si="0">ROUND(H9*(1+$G$5),2)</f>
        <v>262.89999999999998</v>
      </c>
      <c r="J9" s="172">
        <f>TRUNC(F9*I9,2)</f>
        <v>1183.05</v>
      </c>
      <c r="K9" s="130">
        <f>J9/I$145</f>
        <v>9.0998825118672488E-4</v>
      </c>
    </row>
    <row r="10" spans="2:11" ht="90" x14ac:dyDescent="0.25">
      <c r="B10" s="169" t="s">
        <v>23</v>
      </c>
      <c r="C10" s="58" t="str">
        <f>'Memoria de Calculo'!C10</f>
        <v>ED-50397</v>
      </c>
      <c r="D10" s="58" t="s">
        <v>16</v>
      </c>
      <c r="E10" s="170" t="s">
        <v>90</v>
      </c>
      <c r="F10" s="58">
        <f>'Memoria de Calculo'!F10</f>
        <v>82.399999999999991</v>
      </c>
      <c r="G10" s="58" t="str">
        <f>'Memoria de Calculo'!G10</f>
        <v>m</v>
      </c>
      <c r="H10" s="171">
        <v>682.95</v>
      </c>
      <c r="I10" s="171">
        <f t="shared" ref="I10" si="1">ROUND(H10*(1+$G$5),2)</f>
        <v>850.48</v>
      </c>
      <c r="J10" s="172">
        <f>TRUNC(F10*I10,2)</f>
        <v>70079.55</v>
      </c>
      <c r="K10" s="130">
        <f t="shared" ref="K10:K73" si="2">J10/I$145</f>
        <v>5.3904371876465622E-2</v>
      </c>
    </row>
    <row r="11" spans="2:11" ht="22.5" x14ac:dyDescent="0.25">
      <c r="B11" s="169" t="s">
        <v>24</v>
      </c>
      <c r="C11" s="58" t="str">
        <f>'Memoria de Calculo'!C11</f>
        <v xml:space="preserve">RO-41596 </v>
      </c>
      <c r="D11" s="58" t="s">
        <v>16</v>
      </c>
      <c r="E11" s="170" t="str">
        <f>'Memoria de Calculo'!E11</f>
        <v>Muro de arrimo em concreto, tipo OC.MA-01 (Execução, incluindo fornecimento e transporte de todos os materiais)</v>
      </c>
      <c r="F11" s="58">
        <f>'Memoria de Calculo'!F11</f>
        <v>5.7</v>
      </c>
      <c r="G11" s="58" t="str">
        <f>'Memoria de Calculo'!G11</f>
        <v>m3</v>
      </c>
      <c r="H11" s="171">
        <v>731.34</v>
      </c>
      <c r="I11" s="171">
        <f t="shared" si="0"/>
        <v>910.74</v>
      </c>
      <c r="J11" s="172">
        <f t="shared" ref="J11" si="3">TRUNC(F11*I11,2)</f>
        <v>5191.21</v>
      </c>
      <c r="K11" s="130">
        <f t="shared" si="2"/>
        <v>3.9930181390837568E-3</v>
      </c>
    </row>
    <row r="12" spans="2:11" ht="56.25" x14ac:dyDescent="0.25">
      <c r="B12" s="169" t="s">
        <v>37</v>
      </c>
      <c r="C12" s="58" t="str">
        <f>'Memoria de Calculo'!C12</f>
        <v>ED-50417</v>
      </c>
      <c r="D12" s="58" t="s">
        <v>16</v>
      </c>
      <c r="E12" s="170" t="str">
        <f>'Memoria de Calculo'!E12</f>
        <v xml:space="preserve">EXECUÇÃO DE PAVIMENTO INTERTRAVADO, ESPESSURA 6CM, FCK 35MPA, INCLUINDO FORNECIMENTO E TRANSPORTE DE TODOS OS MATERIAIS E COLCHÃO DE ASSENTAMENTO COM
ESPESSURA 6CM </v>
      </c>
      <c r="F12" s="58">
        <f>'Memoria de Calculo'!F12</f>
        <v>96.927499999999995</v>
      </c>
      <c r="G12" s="58" t="str">
        <f>'Memoria de Calculo'!G12</f>
        <v>m3</v>
      </c>
      <c r="H12" s="171">
        <v>65.33</v>
      </c>
      <c r="I12" s="171">
        <f t="shared" ref="I12:I13" si="4">ROUND(H12*(1+$G$5),2)</f>
        <v>81.36</v>
      </c>
      <c r="J12" s="172">
        <f t="shared" ref="J12:J13" si="5">TRUNC(F12*I12,2)</f>
        <v>7886.02</v>
      </c>
      <c r="K12" s="130">
        <f t="shared" si="2"/>
        <v>6.0658345366836029E-3</v>
      </c>
    </row>
    <row r="13" spans="2:11" ht="33.75" x14ac:dyDescent="0.25">
      <c r="B13" s="169" t="s">
        <v>77</v>
      </c>
      <c r="C13" s="58" t="str">
        <f>'Memoria de Calculo'!C14</f>
        <v>ED-51122</v>
      </c>
      <c r="D13" s="58" t="s">
        <v>16</v>
      </c>
      <c r="E13" s="170" t="str">
        <f>'Memoria de Calculo'!E14</f>
        <v xml:space="preserve">REGULARIZAÇÃO E COMPACTAÇÃO DE TERRENO MANUAL, COM SOQUETE
</v>
      </c>
      <c r="F13" s="58">
        <f>'Memoria de Calculo'!F14</f>
        <v>96.927499999999995</v>
      </c>
      <c r="G13" s="58" t="str">
        <f>'Memoria de Calculo'!G14</f>
        <v>m2</v>
      </c>
      <c r="H13" s="171">
        <v>8.6999999999999993</v>
      </c>
      <c r="I13" s="171">
        <f t="shared" si="4"/>
        <v>10.83</v>
      </c>
      <c r="J13" s="172">
        <f t="shared" si="5"/>
        <v>1049.72</v>
      </c>
      <c r="K13" s="130">
        <f t="shared" si="2"/>
        <v>8.0743237144307418E-4</v>
      </c>
    </row>
    <row r="14" spans="2:11" ht="22.5" x14ac:dyDescent="0.25">
      <c r="B14" s="169" t="s">
        <v>78</v>
      </c>
      <c r="C14" s="58" t="str">
        <f>'Memoria de Calculo'!C15</f>
        <v>ED-50985</v>
      </c>
      <c r="D14" s="58" t="s">
        <v>16</v>
      </c>
      <c r="E14" s="170" t="str">
        <f>'Memoria de Calculo'!E15</f>
        <v>PORTÃO EM PERFIL E CHAPA METÁLICA COLOCADO COM CADEADO</v>
      </c>
      <c r="F14" s="58">
        <f>'Memoria de Calculo'!F15</f>
        <v>15.840000000000002</v>
      </c>
      <c r="G14" s="58" t="str">
        <f>'Memoria de Calculo'!G15</f>
        <v>m2</v>
      </c>
      <c r="H14" s="171">
        <v>471.3</v>
      </c>
      <c r="I14" s="171">
        <f t="shared" ref="I14" si="6">ROUND(H14*(1+$G$5),2)</f>
        <v>586.91</v>
      </c>
      <c r="J14" s="172">
        <f t="shared" ref="J14" si="7">TRUNC(F14*I14,2)</f>
        <v>9296.65</v>
      </c>
      <c r="K14" s="130">
        <f t="shared" si="2"/>
        <v>7.1508746675077684E-3</v>
      </c>
    </row>
    <row r="15" spans="2:11" x14ac:dyDescent="0.25">
      <c r="B15" s="169"/>
      <c r="C15" s="173"/>
      <c r="D15" s="58"/>
      <c r="E15" s="174" t="s">
        <v>72</v>
      </c>
      <c r="F15" s="58"/>
      <c r="G15" s="58"/>
      <c r="H15" s="171"/>
      <c r="I15" s="171"/>
      <c r="J15" s="175">
        <f>TRUNC(SUM(J9:J14),2)</f>
        <v>94686.2</v>
      </c>
      <c r="K15" s="130">
        <f t="shared" si="2"/>
        <v>7.2831519842370546E-2</v>
      </c>
    </row>
    <row r="16" spans="2:11" x14ac:dyDescent="0.25">
      <c r="B16" s="169"/>
      <c r="C16" s="58"/>
      <c r="D16" s="58"/>
      <c r="E16" s="176"/>
      <c r="F16" s="58"/>
      <c r="G16" s="58"/>
      <c r="H16" s="171"/>
      <c r="I16" s="171"/>
      <c r="J16" s="172"/>
      <c r="K16" s="130">
        <f t="shared" si="2"/>
        <v>0</v>
      </c>
    </row>
    <row r="17" spans="2:11" x14ac:dyDescent="0.25">
      <c r="B17" s="177">
        <f>'Memoria de Calculo'!B17</f>
        <v>2</v>
      </c>
      <c r="C17" s="58"/>
      <c r="D17" s="58"/>
      <c r="E17" s="178" t="str">
        <f>'Memoria de Calculo'!E17</f>
        <v>INSTALÇÃO ELETRICA</v>
      </c>
      <c r="F17" s="58"/>
      <c r="G17" s="58"/>
      <c r="H17" s="171"/>
      <c r="I17" s="171"/>
      <c r="J17" s="179"/>
      <c r="K17" s="130">
        <f t="shared" si="2"/>
        <v>0</v>
      </c>
    </row>
    <row r="18" spans="2:11" x14ac:dyDescent="0.25">
      <c r="B18" s="177"/>
      <c r="C18" s="58"/>
      <c r="D18" s="58"/>
      <c r="E18" s="178"/>
      <c r="F18" s="58"/>
      <c r="G18" s="58"/>
      <c r="H18" s="171"/>
      <c r="I18" s="171"/>
      <c r="J18" s="186"/>
      <c r="K18" s="130">
        <f t="shared" si="2"/>
        <v>0</v>
      </c>
    </row>
    <row r="19" spans="2:11" ht="42" customHeight="1" x14ac:dyDescent="0.25">
      <c r="B19" s="169" t="str">
        <f>'Memoria de Calculo'!B19</f>
        <v>2.1</v>
      </c>
      <c r="C19" s="58" t="str">
        <f>'Memoria de Calculo'!C19</f>
        <v xml:space="preserve">ED-48986 </v>
      </c>
      <c r="D19" s="58" t="s">
        <v>16</v>
      </c>
      <c r="E19" s="190" t="str">
        <f>'Memoria de Calculo'!E19</f>
        <v>CABO DE COBRE FLEXÍVEL, CLASSE 5, ISOLAMENTO TIPO EPR/  HEPR, NÃO HALOGENADO, ANTICHAMA, TERMOFIXO, UNIPOLAR, SEÇÃO 1,5 MM2, 90°C, 0,6/1KV</v>
      </c>
      <c r="F19" s="180">
        <f>'Memoria de Calculo'!F19</f>
        <v>2480</v>
      </c>
      <c r="G19" s="58" t="str">
        <f>'Memoria de Calculo'!G19</f>
        <v>m</v>
      </c>
      <c r="H19" s="171">
        <v>2.99</v>
      </c>
      <c r="I19" s="171">
        <f t="shared" ref="I19" si="8">ROUND(H19*(1+$G$5),2)</f>
        <v>3.72</v>
      </c>
      <c r="J19" s="172">
        <f t="shared" ref="J19" si="9">TRUNC(F19*I19,2)</f>
        <v>9225.6</v>
      </c>
      <c r="K19" s="130">
        <f t="shared" si="2"/>
        <v>7.0962238368186045E-3</v>
      </c>
    </row>
    <row r="20" spans="2:11" ht="39.75" customHeight="1" x14ac:dyDescent="0.25">
      <c r="B20" s="169" t="str">
        <f>'Memoria de Calculo'!B20</f>
        <v>2.2</v>
      </c>
      <c r="C20" s="58" t="str">
        <f>'Memoria de Calculo'!C20</f>
        <v xml:space="preserve">ED-48989 </v>
      </c>
      <c r="D20" s="58" t="s">
        <v>16</v>
      </c>
      <c r="E20" s="190" t="str">
        <f>'Memoria de Calculo'!E20</f>
        <v>CABO DE COBRE FLEXÍVEL, CLASSE 5, ISOLAMENTO TIPO EPR/ HEPR, NÃO HALOGENADO, ANTICHAMA, TERMOFIXO, UNIPOLAR, SEÇÃO 2,5 MM2, 90°C, 0,6/1KV</v>
      </c>
      <c r="F20" s="180">
        <f>'Memoria de Calculo'!F20</f>
        <v>2480</v>
      </c>
      <c r="G20" s="58" t="str">
        <f>'Memoria de Calculo'!G20</f>
        <v>m</v>
      </c>
      <c r="H20" s="171">
        <v>4.71</v>
      </c>
      <c r="I20" s="171">
        <f t="shared" ref="I20" si="10">ROUND(H20*(1+$G$5),2)</f>
        <v>5.87</v>
      </c>
      <c r="J20" s="172">
        <f t="shared" ref="J20" si="11">TRUNC(F20*I20,2)</f>
        <v>14557.6</v>
      </c>
      <c r="K20" s="130">
        <f t="shared" si="2"/>
        <v>1.1197536000571292E-2</v>
      </c>
    </row>
    <row r="21" spans="2:11" ht="48.75" customHeight="1" x14ac:dyDescent="0.25">
      <c r="B21" s="169" t="str">
        <f>'Memoria de Calculo'!B21</f>
        <v>2.3</v>
      </c>
      <c r="C21" s="58" t="str">
        <f>'Memoria de Calculo'!C21</f>
        <v xml:space="preserve">ED-48992 </v>
      </c>
      <c r="D21" s="58" t="s">
        <v>16</v>
      </c>
      <c r="E21" s="190" t="str">
        <f>'Memoria de Calculo'!E21</f>
        <v>CABO DE COBRE FLEXÍVEL, CLASSE 5, ISOLAMENTO TIPO EPR/HEPR, NÃO HALOGENADO, ANTICHAMA, TERMOFIXO, UNIPOLAR, SEÇÃO 4 MM2, 90°C, 0,6/1KV
m 6,43</v>
      </c>
      <c r="F21" s="180">
        <f>'Memoria de Calculo'!F21</f>
        <v>300</v>
      </c>
      <c r="G21" s="58" t="str">
        <f>'Memoria de Calculo'!G21</f>
        <v>m</v>
      </c>
      <c r="H21" s="171">
        <v>6.43</v>
      </c>
      <c r="I21" s="171">
        <f t="shared" ref="I21" si="12">ROUND(H21*(1+$G$5),2)</f>
        <v>8.01</v>
      </c>
      <c r="J21" s="172">
        <f t="shared" ref="J21" si="13">TRUNC(F21*I21,2)</f>
        <v>2403</v>
      </c>
      <c r="K21" s="130">
        <f t="shared" si="2"/>
        <v>1.8483595516687375E-3</v>
      </c>
    </row>
    <row r="22" spans="2:11" ht="34.5" customHeight="1" x14ac:dyDescent="0.25">
      <c r="B22" s="169" t="str">
        <f>'Memoria de Calculo'!B22</f>
        <v>2.4</v>
      </c>
      <c r="C22" s="58" t="str">
        <f>'Memoria de Calculo'!C22</f>
        <v xml:space="preserve">ED-48998 </v>
      </c>
      <c r="D22" s="58" t="s">
        <v>16</v>
      </c>
      <c r="E22" s="190" t="str">
        <f>'Memoria de Calculo'!E22</f>
        <v>CABO DE COBRE FLEXÍVEL, CLASSE 5, ISOLAMENTO TIPO EPR/HEPR, NÃO HALOGENADO, ANTICHAMA, TERMOFIXO, UNIPOLAR,SEÇÃO 10 MM2, 90°C, 0,6/1KV m 14,49</v>
      </c>
      <c r="F22" s="180">
        <f>'Memoria de Calculo'!F22</f>
        <v>40</v>
      </c>
      <c r="G22" s="58" t="str">
        <f>'Memoria de Calculo'!G22</f>
        <v>m</v>
      </c>
      <c r="H22" s="171">
        <v>14.49</v>
      </c>
      <c r="I22" s="171">
        <f t="shared" ref="I22" si="14">ROUND(H22*(1+$G$5),2)</f>
        <v>18.04</v>
      </c>
      <c r="J22" s="172">
        <f t="shared" ref="J22" si="15">TRUNC(F22*I22,2)</f>
        <v>721.6</v>
      </c>
      <c r="K22" s="130">
        <f t="shared" si="2"/>
        <v>5.5504629733007117E-4</v>
      </c>
    </row>
    <row r="23" spans="2:11" ht="33.75" x14ac:dyDescent="0.25">
      <c r="B23" s="169" t="str">
        <f>'Memoria de Calculo'!B23</f>
        <v>2.5</v>
      </c>
      <c r="C23" s="58" t="str">
        <f>'Memoria de Calculo'!C23</f>
        <v xml:space="preserve">ED-49001 </v>
      </c>
      <c r="D23" s="58" t="s">
        <v>16</v>
      </c>
      <c r="E23" s="190" t="str">
        <f>'Memoria de Calculo'!E23</f>
        <v>CABO DE COBRE FLEXÍVEL, CLASSE 5, ISOLAMENTO TIPO EPR/HEPR, NÃO HALOGENADO, ANTICHAMA, TERMOFIXO, UNIPOLAR,SEÇÃO 16 MM2, 90°C, 0,6/1KV</v>
      </c>
      <c r="F23" s="180">
        <f>'Memoria de Calculo'!F23</f>
        <v>40</v>
      </c>
      <c r="G23" s="58" t="str">
        <f>'Memoria de Calculo'!G23</f>
        <v>m</v>
      </c>
      <c r="H23" s="171">
        <v>21.58</v>
      </c>
      <c r="I23" s="171">
        <f t="shared" ref="I23" si="16">ROUND(H23*(1+$G$5),2)</f>
        <v>26.87</v>
      </c>
      <c r="J23" s="172">
        <f t="shared" ref="J23" si="17">TRUNC(F23*I23,2)</f>
        <v>1074.8</v>
      </c>
      <c r="K23" s="130">
        <f t="shared" si="2"/>
        <v>8.2672361470393632E-4</v>
      </c>
    </row>
    <row r="24" spans="2:11" ht="36.75" customHeight="1" x14ac:dyDescent="0.25">
      <c r="B24" s="169" t="str">
        <f>'Memoria de Calculo'!B24</f>
        <v>2.6</v>
      </c>
      <c r="C24" s="58" t="str">
        <f>'Memoria de Calculo'!C24</f>
        <v xml:space="preserve">ED-49004 </v>
      </c>
      <c r="D24" s="58" t="s">
        <v>16</v>
      </c>
      <c r="E24" s="190" t="str">
        <f>'Memoria de Calculo'!E24</f>
        <v>CABO DE COBRE FLEXÍVEL, CLASSE 5, ISOLAMENTO TIPO EPR/HEPR, NÃO HALOGENADO, ANTICHAMA, TERMOFIXO, UNIPOLAR, SEÇÃO 25 MM2, 90°C, 0,6/1K</v>
      </c>
      <c r="F24" s="180">
        <f>'Memoria de Calculo'!F24</f>
        <v>160</v>
      </c>
      <c r="G24" s="58" t="str">
        <f>'Memoria de Calculo'!G24</f>
        <v>m</v>
      </c>
      <c r="H24" s="171">
        <v>22.58</v>
      </c>
      <c r="I24" s="171">
        <f t="shared" ref="I24" si="18">ROUND(H24*(1+$G$5),2)</f>
        <v>28.12</v>
      </c>
      <c r="J24" s="172">
        <f t="shared" ref="J24" si="19">TRUNC(F24*I24,2)</f>
        <v>4499.2</v>
      </c>
      <c r="K24" s="130">
        <f t="shared" si="2"/>
        <v>3.4607321243728603E-3</v>
      </c>
    </row>
    <row r="25" spans="2:11" ht="45" x14ac:dyDescent="0.25">
      <c r="B25" s="169" t="str">
        <f>'Memoria de Calculo'!B25</f>
        <v>2.7</v>
      </c>
      <c r="C25" s="58" t="str">
        <f>'Memoria de Calculo'!C25</f>
        <v>ED-15748</v>
      </c>
      <c r="D25" s="58" t="s">
        <v>16</v>
      </c>
      <c r="E25" s="190" t="str">
        <f>'Memoria de Calculo'!E25</f>
        <v>CONJUNTO DE UMA (1) TOMADA PADRÃO, TRÊS (3) POLOS, CORRENTE 10A, TENSÃO 250V, (2P+T/10A-250V), COM PLACA 4"X2" DE UM (1) POSTO, INCLUSIVE FORNECIMENTO, INSTALAÇÃO, SUPORTE, MÓDULO E PLACA</v>
      </c>
      <c r="F25" s="180">
        <f>'Memoria de Calculo'!F25</f>
        <v>64</v>
      </c>
      <c r="G25" s="58" t="str">
        <f>'Memoria de Calculo'!G25</f>
        <v>unid.</v>
      </c>
      <c r="H25" s="171">
        <v>22.21</v>
      </c>
      <c r="I25" s="171">
        <f t="shared" ref="I25:I30" si="20">ROUND(H25*(1+$G$5),2)</f>
        <v>27.66</v>
      </c>
      <c r="J25" s="172">
        <f t="shared" ref="J25:J30" si="21">TRUNC(F25*I25,2)</f>
        <v>1770.24</v>
      </c>
      <c r="K25" s="130">
        <f t="shared" si="2"/>
        <v>1.3616479453791369E-3</v>
      </c>
    </row>
    <row r="26" spans="2:11" ht="56.25" x14ac:dyDescent="0.25">
      <c r="B26" s="169" t="str">
        <f>'Memoria de Calculo'!B26</f>
        <v>2.8</v>
      </c>
      <c r="C26" s="58" t="str">
        <f>'Memoria de Calculo'!C26</f>
        <v xml:space="preserve">ED-15765 </v>
      </c>
      <c r="D26" s="58" t="s">
        <v>16</v>
      </c>
      <c r="E26" s="190" t="str">
        <f>'Memoria de Calculo'!E26</f>
        <v>CONJUNTO DE UM (1) INTERRUPTOR SIMPLES, CORRENTE 10A, TENSÃO 250V, (10A-250V) E UMA (1) TOMADA PADRÃO, TRÊS (3) POLOS, CORRENTE 10A, TENSÃO 250V, (2P+T/10A-250V), COM PLACA 4"X2" DE DOIS (2) POSTOS, INCLUSIVE FORNECIMENTO, INSTALAÇÃO, SUPORTE, MÓDULO E PLACA</v>
      </c>
      <c r="F26" s="180">
        <f>'Memoria de Calculo'!F26</f>
        <v>49</v>
      </c>
      <c r="G26" s="58" t="str">
        <f>'Memoria de Calculo'!G26</f>
        <v>unid.</v>
      </c>
      <c r="H26" s="171">
        <v>34.71</v>
      </c>
      <c r="I26" s="171">
        <f t="shared" si="20"/>
        <v>43.22</v>
      </c>
      <c r="J26" s="172">
        <f t="shared" si="21"/>
        <v>2117.7800000000002</v>
      </c>
      <c r="K26" s="130">
        <f t="shared" si="2"/>
        <v>1.6289716568177359E-3</v>
      </c>
    </row>
    <row r="27" spans="2:11" ht="33.75" x14ac:dyDescent="0.25">
      <c r="B27" s="169" t="str">
        <f>'Memoria de Calculo'!B28</f>
        <v>2.10</v>
      </c>
      <c r="C27" s="58" t="str">
        <f>'Memoria de Calculo'!C27</f>
        <v xml:space="preserve"> MÓDULO</v>
      </c>
      <c r="D27" s="58" t="s">
        <v>16</v>
      </c>
      <c r="E27" s="190" t="str">
        <f>'Memoria de Calculo'!E27</f>
        <v>TOMADA PADRÃO, TRÊS (3) POLOS, CORRENTE 10A,
TENSÃO 250V, (2P+T/10A-250V), INCLUSIVE FORNECIMENTO E INSTALAÇÃO, EXCLUSIVE PLACA E SUPORTE</v>
      </c>
      <c r="F27" s="180">
        <f>'Memoria de Calculo'!F27</f>
        <v>5</v>
      </c>
      <c r="G27" s="58" t="str">
        <f>'Memoria de Calculo'!G27</f>
        <v>unid.</v>
      </c>
      <c r="H27" s="171">
        <v>13.36</v>
      </c>
      <c r="I27" s="171">
        <f t="shared" si="20"/>
        <v>16.64</v>
      </c>
      <c r="J27" s="172">
        <f t="shared" si="21"/>
        <v>83.2</v>
      </c>
      <c r="K27" s="130">
        <f t="shared" si="2"/>
        <v>6.3996468871759874E-5</v>
      </c>
    </row>
    <row r="28" spans="2:11" ht="50.25" customHeight="1" x14ac:dyDescent="0.25">
      <c r="B28" s="169" t="str">
        <f>'Memoria de Calculo'!B29</f>
        <v>2.11</v>
      </c>
      <c r="C28" s="58" t="str">
        <f>'Memoria de Calculo'!C28</f>
        <v>ED-15749</v>
      </c>
      <c r="D28" s="58" t="s">
        <v>16</v>
      </c>
      <c r="E28" s="190" t="str">
        <f>'Memoria de Calculo'!E28</f>
        <v>CONJUNTO DE UMA (1) TOMADA PADRÃO, TRÊS (3) POLOS,CORRENTE 20A, TENSÃO 250V, (2P+T/20A-50V), COM PLACA 4"X2" DE UM (1) POSTO, INCLUSIVE  FORNECIMENTO, INSTALAÇÃO, SUPORTE, MÓDULO E PLACA</v>
      </c>
      <c r="F28" s="180">
        <f>'Memoria de Calculo'!F28</f>
        <v>17</v>
      </c>
      <c r="G28" s="58" t="str">
        <f>'Memoria de Calculo'!G28</f>
        <v>unid.</v>
      </c>
      <c r="H28" s="171">
        <v>23.27</v>
      </c>
      <c r="I28" s="171">
        <f t="shared" si="20"/>
        <v>28.98</v>
      </c>
      <c r="J28" s="172">
        <f t="shared" si="21"/>
        <v>492.66</v>
      </c>
      <c r="K28" s="130">
        <f t="shared" si="2"/>
        <v>3.7894832156684156E-4</v>
      </c>
    </row>
    <row r="29" spans="2:11" ht="33.75" x14ac:dyDescent="0.25">
      <c r="B29" s="169" t="str">
        <f>'Memoria de Calculo'!B30</f>
        <v>2.12</v>
      </c>
      <c r="C29" s="58" t="str">
        <f>'Memoria de Calculo'!C30</f>
        <v>ED-49276</v>
      </c>
      <c r="D29" s="58" t="s">
        <v>16</v>
      </c>
      <c r="E29" s="190" t="str">
        <f>'Memoria de Calculo'!E30</f>
        <v xml:space="preserve">DISJUNTOR BIPOLAR TERMOMAGNÉTICO 5KA, DE 40A un 50,10
</v>
      </c>
      <c r="F29" s="180">
        <f>'Memoria de Calculo'!F30</f>
        <v>20</v>
      </c>
      <c r="G29" s="58" t="str">
        <f>'Memoria de Calculo'!G30</f>
        <v>unid.</v>
      </c>
      <c r="H29" s="171">
        <v>27.58</v>
      </c>
      <c r="I29" s="171">
        <f t="shared" si="20"/>
        <v>34.35</v>
      </c>
      <c r="J29" s="172">
        <f t="shared" si="21"/>
        <v>687</v>
      </c>
      <c r="K29" s="130">
        <f t="shared" si="2"/>
        <v>5.2843238118869022E-4</v>
      </c>
    </row>
    <row r="30" spans="2:11" x14ac:dyDescent="0.25">
      <c r="B30" s="169" t="str">
        <f>'Memoria de Calculo'!B31</f>
        <v>2.13</v>
      </c>
      <c r="C30" s="58" t="str">
        <f>'Memoria de Calculo'!C31</f>
        <v>ED-49260</v>
      </c>
      <c r="D30" s="58" t="s">
        <v>16</v>
      </c>
      <c r="E30" s="190" t="str">
        <f>'Memoria de Calculo'!E31</f>
        <v>DISJUNTOR TRIPOLAR TERMOMAGNÉTICO 10KA, DE 60A</v>
      </c>
      <c r="F30" s="180">
        <f>'Memoria de Calculo'!F31</f>
        <v>3</v>
      </c>
      <c r="G30" s="58" t="str">
        <f>'Memoria de Calculo'!G31</f>
        <v>unid.</v>
      </c>
      <c r="H30" s="171">
        <v>115.24</v>
      </c>
      <c r="I30" s="171">
        <f t="shared" si="20"/>
        <v>143.51</v>
      </c>
      <c r="J30" s="172">
        <f t="shared" si="21"/>
        <v>430.53</v>
      </c>
      <c r="K30" s="130">
        <f t="shared" si="2"/>
        <v>3.3115865076152373E-4</v>
      </c>
    </row>
    <row r="31" spans="2:11" x14ac:dyDescent="0.25">
      <c r="B31" s="169" t="str">
        <f>'Memoria de Calculo'!B32</f>
        <v>2.14</v>
      </c>
      <c r="C31" s="58" t="str">
        <f>'Memoria de Calculo'!C32</f>
        <v>ED-49263</v>
      </c>
      <c r="D31" s="58" t="s">
        <v>16</v>
      </c>
      <c r="E31" s="190" t="str">
        <f>'Memoria de Calculo'!E32</f>
        <v>DISJUNTOR TRIPOLAR TERMOMAGNÉTICO 10KA, DE 100A</v>
      </c>
      <c r="F31" s="180">
        <f>'Memoria de Calculo'!F32</f>
        <v>1</v>
      </c>
      <c r="G31" s="58" t="str">
        <f>'Memoria de Calculo'!G32</f>
        <v>unid.</v>
      </c>
      <c r="H31" s="171">
        <v>115.24</v>
      </c>
      <c r="I31" s="171">
        <f t="shared" ref="I31:I35" si="22">ROUND(H31*(1+$G$5),2)</f>
        <v>143.51</v>
      </c>
      <c r="J31" s="172">
        <f t="shared" ref="J31:J35" si="23">TRUNC(F31*I31,2)</f>
        <v>143.51</v>
      </c>
      <c r="K31" s="130">
        <f t="shared" si="2"/>
        <v>1.1038621692050791E-4</v>
      </c>
    </row>
    <row r="32" spans="2:11" ht="48" customHeight="1" x14ac:dyDescent="0.25">
      <c r="B32" s="169" t="str">
        <f>'Memoria de Calculo'!B33</f>
        <v>2.15</v>
      </c>
      <c r="C32" s="58" t="str">
        <f>'Memoria de Calculo'!C33</f>
        <v>ED-15115</v>
      </c>
      <c r="D32" s="58" t="s">
        <v>16</v>
      </c>
      <c r="E32" s="190" t="str">
        <f>'Memoria de Calculo'!E33</f>
        <v xml:space="preserve">DISJUNTOR DE PROTEÇÃO DIFERENCIAL RESIDUAL (DR), BIPOLAR, TIPO DIN, CORRENTE NOMINAL DE 40A, ALTA SENSIBILIDADE, CORRENTE DIFERENCIAL RESIDUAL NOMINAL COM ATUAÇÃO DE 30MA </v>
      </c>
      <c r="F32" s="180">
        <f>'Memoria de Calculo'!F33</f>
        <v>1</v>
      </c>
      <c r="G32" s="58" t="str">
        <f>'Memoria de Calculo'!G33</f>
        <v>unid.</v>
      </c>
      <c r="H32" s="171">
        <v>123.11</v>
      </c>
      <c r="I32" s="171">
        <f t="shared" si="22"/>
        <v>153.31</v>
      </c>
      <c r="J32" s="172">
        <f t="shared" si="23"/>
        <v>153.31</v>
      </c>
      <c r="K32" s="130">
        <f t="shared" si="2"/>
        <v>1.1792426253280656E-4</v>
      </c>
    </row>
    <row r="33" spans="2:11" ht="22.5" x14ac:dyDescent="0.25">
      <c r="B33" s="169" t="str">
        <f>'Memoria de Calculo'!B34</f>
        <v>2.16</v>
      </c>
      <c r="C33" s="58" t="str">
        <f>'Memoria de Calculo'!C34</f>
        <v xml:space="preserve">ED-49527 </v>
      </c>
      <c r="D33" s="58" t="s">
        <v>16</v>
      </c>
      <c r="E33" s="190" t="str">
        <f>'Memoria de Calculo'!E34</f>
        <v>SUPRESSOR DE SURTO PARA PROTEÇÃO PRIMÁRIA EM QGD, ATÉ 1,5 KV - 5 KA un 298,72</v>
      </c>
      <c r="F33" s="180">
        <f>'Memoria de Calculo'!F34</f>
        <v>1</v>
      </c>
      <c r="G33" s="58" t="str">
        <f>'Memoria de Calculo'!G34</f>
        <v>unid.</v>
      </c>
      <c r="H33" s="171">
        <v>298.72000000000003</v>
      </c>
      <c r="I33" s="171">
        <f t="shared" si="22"/>
        <v>372</v>
      </c>
      <c r="J33" s="172">
        <f t="shared" si="23"/>
        <v>372</v>
      </c>
      <c r="K33" s="130">
        <f t="shared" si="2"/>
        <v>2.8613805793623401E-4</v>
      </c>
    </row>
    <row r="34" spans="2:11" ht="45.75" customHeight="1" x14ac:dyDescent="0.25">
      <c r="B34" s="169" t="str">
        <f>'Memoria de Calculo'!B35</f>
        <v>2.17</v>
      </c>
      <c r="C34" s="58" t="str">
        <f>'Memoria de Calculo'!C35</f>
        <v>ED-27076</v>
      </c>
      <c r="D34" s="58" t="s">
        <v>16</v>
      </c>
      <c r="E34" s="190" t="str">
        <f>'Memoria de Calculo'!E35</f>
        <v>LUMINÁRIA COMERCIAL COM DIFUSOR DE EMBUTIR COMPLETA, PARA QUATRO (4) LÂMPADAS TUBULARES LED 4X9W-ØT8, TEMPERATURA DA COR 6500K, FORNECIMENTO E INSTALAÇÃO, INCLUSIVE BASE E LÂMPADA</v>
      </c>
      <c r="F34" s="180">
        <f>'Memoria de Calculo'!F35</f>
        <v>49</v>
      </c>
      <c r="G34" s="58" t="str">
        <f>'Memoria de Calculo'!G35</f>
        <v>unid.</v>
      </c>
      <c r="H34" s="171">
        <v>474.67</v>
      </c>
      <c r="I34" s="171">
        <f t="shared" si="22"/>
        <v>591.11</v>
      </c>
      <c r="J34" s="172">
        <f t="shared" si="23"/>
        <v>28964.39</v>
      </c>
      <c r="K34" s="130">
        <f t="shared" si="2"/>
        <v>2.2279070709429239E-2</v>
      </c>
    </row>
    <row r="35" spans="2:11" ht="35.25" customHeight="1" x14ac:dyDescent="0.25">
      <c r="B35" s="169" t="str">
        <f>'Memoria de Calculo'!B36</f>
        <v>2.18</v>
      </c>
      <c r="C35" s="58">
        <f>'Memoria de Calculo'!C36</f>
        <v>97607</v>
      </c>
      <c r="D35" s="58" t="s">
        <v>16</v>
      </c>
      <c r="E35" s="190" t="str">
        <f>'Memoria de Calculo'!E36</f>
        <v xml:space="preserve"> LUMINÁRIA ARANDELA TIPO TARTARUGA, DE SOBREPOR, COM 1 LÂMPADA LED DE 6W, SEM REATOR - FORNECIMENTO E INSTALAÇÃO. AF_02/2020</v>
      </c>
      <c r="F35" s="180">
        <f>'Memoria de Calculo'!F36</f>
        <v>20</v>
      </c>
      <c r="G35" s="58" t="str">
        <f>'Memoria de Calculo'!G36</f>
        <v>unid.</v>
      </c>
      <c r="H35" s="171">
        <v>115.04</v>
      </c>
      <c r="I35" s="171">
        <f t="shared" si="22"/>
        <v>143.26</v>
      </c>
      <c r="J35" s="172">
        <f t="shared" si="23"/>
        <v>2865.2</v>
      </c>
      <c r="K35" s="130">
        <f t="shared" si="2"/>
        <v>2.2038783967712303E-3</v>
      </c>
    </row>
    <row r="36" spans="2:11" x14ac:dyDescent="0.25">
      <c r="B36" s="169"/>
      <c r="C36" s="58"/>
      <c r="D36" s="58"/>
      <c r="E36" s="174" t="s">
        <v>72</v>
      </c>
      <c r="F36" s="58"/>
      <c r="G36" s="58"/>
      <c r="H36" s="171"/>
      <c r="I36" s="171"/>
      <c r="J36" s="175">
        <f>TRUNC(SUM(J19:J35),2)</f>
        <v>70561.62</v>
      </c>
      <c r="K36" s="130">
        <f t="shared" si="2"/>
        <v>5.4275174493641207E-2</v>
      </c>
    </row>
    <row r="37" spans="2:11" x14ac:dyDescent="0.25">
      <c r="B37" s="177"/>
      <c r="C37" s="58"/>
      <c r="D37" s="58"/>
      <c r="E37" s="190"/>
      <c r="F37" s="180"/>
      <c r="G37" s="58"/>
      <c r="H37" s="171"/>
      <c r="I37" s="171"/>
      <c r="J37" s="172"/>
      <c r="K37" s="130">
        <f t="shared" si="2"/>
        <v>0</v>
      </c>
    </row>
    <row r="38" spans="2:11" x14ac:dyDescent="0.25">
      <c r="B38" s="177">
        <f>'Memoria de Calculo'!B38</f>
        <v>3</v>
      </c>
      <c r="C38" s="58"/>
      <c r="D38" s="58"/>
      <c r="E38" s="195" t="str">
        <f>'Memoria de Calculo'!E38</f>
        <v>INSTALAÇÕES DE REDE LÓGICA E TELEFONIA</v>
      </c>
      <c r="F38" s="180"/>
      <c r="G38" s="58"/>
      <c r="H38" s="171"/>
      <c r="I38" s="171"/>
      <c r="J38" s="179"/>
      <c r="K38" s="130">
        <f t="shared" si="2"/>
        <v>0</v>
      </c>
    </row>
    <row r="39" spans="2:11" x14ac:dyDescent="0.25">
      <c r="B39" s="177"/>
      <c r="C39" s="58"/>
      <c r="D39" s="58"/>
      <c r="E39" s="195"/>
      <c r="F39" s="180"/>
      <c r="G39" s="58"/>
      <c r="H39" s="171"/>
      <c r="I39" s="171"/>
      <c r="J39" s="186"/>
      <c r="K39" s="130">
        <f t="shared" si="2"/>
        <v>0</v>
      </c>
    </row>
    <row r="40" spans="2:11" ht="27.75" customHeight="1" x14ac:dyDescent="0.25">
      <c r="B40" s="169" t="str">
        <f>'Memoria de Calculo'!B40</f>
        <v>3.1</v>
      </c>
      <c r="C40" s="58" t="str">
        <f>'Memoria de Calculo'!C40</f>
        <v xml:space="preserve">ED-48365 </v>
      </c>
      <c r="D40" s="58" t="s">
        <v>16</v>
      </c>
      <c r="E40" s="190" t="str">
        <f>'Memoria de Calculo'!E40</f>
        <v>CABO UTP 4 PARES CATEGORIA 6 COM REVESTIMENTO EXTERNO NÃO PROPAGANTE A CHAMA</v>
      </c>
      <c r="F40" s="180">
        <f>'Memoria de Calculo'!F40</f>
        <v>952</v>
      </c>
      <c r="G40" s="58" t="str">
        <f>'Memoria de Calculo'!G40</f>
        <v>m</v>
      </c>
      <c r="H40" s="171">
        <v>8.59</v>
      </c>
      <c r="I40" s="171">
        <f t="shared" ref="I40" si="24">ROUND(H40*(1+$G$5),2)</f>
        <v>10.7</v>
      </c>
      <c r="J40" s="172">
        <f t="shared" ref="J40" si="25">TRUNC(F40*I40,2)</f>
        <v>10186.4</v>
      </c>
      <c r="K40" s="130">
        <f t="shared" si="2"/>
        <v>7.8352599821549847E-3</v>
      </c>
    </row>
    <row r="41" spans="2:11" x14ac:dyDescent="0.25">
      <c r="B41" s="169" t="str">
        <f>'Memoria de Calculo'!B41</f>
        <v>3.2</v>
      </c>
      <c r="C41" s="58" t="str">
        <f>'Memoria de Calculo'!C41</f>
        <v>ED-49184</v>
      </c>
      <c r="D41" s="58" t="s">
        <v>16</v>
      </c>
      <c r="E41" s="190" t="str">
        <f>'Memoria de Calculo'!E41</f>
        <v xml:space="preserve">CAIXA DE DISTRIBUIÇÃO GERAL OU DERIVAÇÃO DG Nº4 </v>
      </c>
      <c r="F41" s="180">
        <f>'Memoria de Calculo'!F41</f>
        <v>2</v>
      </c>
      <c r="G41" s="58" t="str">
        <f>'Memoria de Calculo'!G41</f>
        <v>unid.</v>
      </c>
      <c r="H41" s="171">
        <v>307.41000000000003</v>
      </c>
      <c r="I41" s="171">
        <f t="shared" ref="I41" si="26">ROUND(H41*(1+$G$5),2)</f>
        <v>382.82</v>
      </c>
      <c r="J41" s="172">
        <f t="shared" ref="J41" si="27">TRUNC(F41*I41,2)</f>
        <v>765.64</v>
      </c>
      <c r="K41" s="130">
        <f t="shared" si="2"/>
        <v>5.8892135128574795E-4</v>
      </c>
    </row>
    <row r="42" spans="2:11" ht="56.25" customHeight="1" x14ac:dyDescent="0.25">
      <c r="B42" s="169" t="str">
        <f>'Memoria de Calculo'!B42</f>
        <v>3.3</v>
      </c>
      <c r="C42" s="58" t="str">
        <f>'Memoria de Calculo'!C42</f>
        <v xml:space="preserve">ED-27189 </v>
      </c>
      <c r="D42" s="58" t="s">
        <v>16</v>
      </c>
      <c r="E42" s="190" t="str">
        <f>'Memoria de Calculo'!E42</f>
        <v xml:space="preserve">CAIXA PRÉ-MOLDADA DE ENTRADA TELEFÔNICA TIPO R1, MEDIDAS INTERNAS 60X35X50CM, INCLUSIVE ESCAVAÇÃO, APILOAMENTO, LASTRO DE BRITA, REATERRO E TRANSPORTE E RETIRADA DO MATERIAL ESCAVADO (EM CAÇAMBA) </v>
      </c>
      <c r="F42" s="180">
        <f>'Memoria de Calculo'!F42</f>
        <v>1</v>
      </c>
      <c r="G42" s="58" t="str">
        <f>'Memoria de Calculo'!G42</f>
        <v>unid.</v>
      </c>
      <c r="H42" s="171">
        <v>504.85</v>
      </c>
      <c r="I42" s="171">
        <f t="shared" ref="I42" si="28">ROUND(H42*(1+$G$5),2)</f>
        <v>628.69000000000005</v>
      </c>
      <c r="J42" s="172">
        <f t="shared" ref="J42" si="29">TRUNC(F42*I42,2)</f>
        <v>628.69000000000005</v>
      </c>
      <c r="K42" s="130">
        <f t="shared" si="2"/>
        <v>4.8358100979551343E-4</v>
      </c>
    </row>
    <row r="43" spans="2:11" ht="45" x14ac:dyDescent="0.25">
      <c r="B43" s="169" t="str">
        <f>'Memoria de Calculo'!B43</f>
        <v>3.4</v>
      </c>
      <c r="C43" s="58" t="str">
        <f>'Memoria de Calculo'!C43</f>
        <v>ED-15752</v>
      </c>
      <c r="D43" s="58" t="s">
        <v>16</v>
      </c>
      <c r="E43" s="190" t="str">
        <f>'Memoria de Calculo'!E43</f>
        <v>CONJUNTO DE UMA (1) TOMADA DE DADOS (CONECTOR RJ45 CAT.6E), COM PLACA 4"X2" DE UM (1) POSTO, INCLUSIVE FORNECIMENTO, INSTALAÇÃO, SUPORTE, MÓDULO E PLACA un 35,88</v>
      </c>
      <c r="F43" s="180">
        <f>'Memoria de Calculo'!F43</f>
        <v>38</v>
      </c>
      <c r="G43" s="58" t="str">
        <f>'Memoria de Calculo'!G43</f>
        <v>unid.</v>
      </c>
      <c r="H43" s="171">
        <v>35.880000000000003</v>
      </c>
      <c r="I43" s="171">
        <f t="shared" ref="I43:I45" si="30">ROUND(H43*(1+$G$5),2)</f>
        <v>44.68</v>
      </c>
      <c r="J43" s="172">
        <f t="shared" ref="J43:J45" si="31">TRUNC(F43*I43,2)</f>
        <v>1697.84</v>
      </c>
      <c r="K43" s="130">
        <f t="shared" si="2"/>
        <v>1.3059587104474611E-3</v>
      </c>
    </row>
    <row r="44" spans="2:11" ht="45" x14ac:dyDescent="0.25">
      <c r="B44" s="169" t="str">
        <f>'Memoria de Calculo'!B44</f>
        <v>3.5</v>
      </c>
      <c r="C44" s="58" t="str">
        <f>'Memoria de Calculo'!C44</f>
        <v>ED-15751</v>
      </c>
      <c r="D44" s="58" t="s">
        <v>16</v>
      </c>
      <c r="E44" s="190" t="str">
        <f>'Memoria de Calculo'!E44</f>
        <v>CONJUNTO DE UMA (1) TOMADA TELEFÔNICA (CONECTOR RJ11), COM PLACA 4"X2" DE UM (1) POSTO, INCLUSIVE FORNECIMENTO, INSTALAÇÃO, SUPORTE, MÓDULO E PLACA un 25,10</v>
      </c>
      <c r="F44" s="180">
        <f>'Memoria de Calculo'!F44</f>
        <v>38</v>
      </c>
      <c r="G44" s="58" t="str">
        <f>'Memoria de Calculo'!G44</f>
        <v>unid.</v>
      </c>
      <c r="H44" s="171">
        <v>25.1</v>
      </c>
      <c r="I44" s="171">
        <f t="shared" si="30"/>
        <v>31.26</v>
      </c>
      <c r="J44" s="172">
        <f t="shared" si="31"/>
        <v>1187.8800000000001</v>
      </c>
      <c r="K44" s="130">
        <f t="shared" si="2"/>
        <v>9.1370343080992937E-4</v>
      </c>
    </row>
    <row r="45" spans="2:11" ht="72" customHeight="1" x14ac:dyDescent="0.25">
      <c r="B45" s="169" t="str">
        <f>'Memoria de Calculo'!B45</f>
        <v>3.6</v>
      </c>
      <c r="C45" s="58"/>
      <c r="D45" s="58"/>
      <c r="E45" s="190" t="str">
        <f>'Memoria de Calculo'!E45</f>
        <v>FORNECIMENTO E INSTALAÇÃO DE RACK19'' X44U COM VOICE PANEL 50 PORTAS - 1U, PABX IP, DISTRIBUIDOR ÓTICO - 12 F, SWITCH 24 PORTAS 10 GIGABIT- 1U  , ORGANIZADOR DE CABOS HORIZONTAL DE 1U, PATCH PANEL 24 PORTAS - 1U, RÉGUA DE TOMADAS - 08 POSIÇÕES E BANDEJA 1U PARA RACK 19" CONFORME PROJETO</v>
      </c>
      <c r="F45" s="180">
        <f>'Memoria de Calculo'!F45</f>
        <v>1</v>
      </c>
      <c r="G45" s="58" t="s">
        <v>403</v>
      </c>
      <c r="H45" s="171">
        <v>15188.6</v>
      </c>
      <c r="I45" s="171">
        <f t="shared" si="30"/>
        <v>18914.36</v>
      </c>
      <c r="J45" s="172">
        <f t="shared" si="31"/>
        <v>18914.36</v>
      </c>
      <c r="K45" s="130">
        <f t="shared" si="2"/>
        <v>1.4548704939534375E-2</v>
      </c>
    </row>
    <row r="46" spans="2:11" ht="22.5" x14ac:dyDescent="0.25">
      <c r="B46" s="169" t="str">
        <f>'Memoria de Calculo'!B46</f>
        <v>3.7</v>
      </c>
      <c r="C46" s="58"/>
      <c r="D46" s="58"/>
      <c r="E46" s="190" t="s">
        <v>404</v>
      </c>
      <c r="F46" s="180">
        <f>'Memoria de Calculo'!F46</f>
        <v>1</v>
      </c>
      <c r="G46" s="58" t="s">
        <v>403</v>
      </c>
      <c r="H46" s="171">
        <v>9652.2999999999993</v>
      </c>
      <c r="I46" s="171">
        <f t="shared" ref="I46" si="32">ROUND(H46*(1+$G$5),2)</f>
        <v>12020.01</v>
      </c>
      <c r="J46" s="172">
        <f t="shared" ref="J46" si="33">TRUNC(F46*I46,2)</f>
        <v>12020.01</v>
      </c>
      <c r="K46" s="130">
        <f t="shared" si="2"/>
        <v>9.2456513918658945E-3</v>
      </c>
    </row>
    <row r="47" spans="2:11" x14ac:dyDescent="0.25">
      <c r="B47" s="169"/>
      <c r="C47" s="58"/>
      <c r="D47" s="58"/>
      <c r="E47" s="190"/>
      <c r="F47" s="180"/>
      <c r="G47" s="58"/>
      <c r="H47" s="171"/>
      <c r="I47" s="171"/>
      <c r="J47" s="175">
        <f>TRUNC(SUM(J40:J46),2)</f>
        <v>45400.82</v>
      </c>
      <c r="K47" s="130">
        <f t="shared" si="2"/>
        <v>3.4921780815893907E-2</v>
      </c>
    </row>
    <row r="48" spans="2:11" x14ac:dyDescent="0.25">
      <c r="B48" s="169"/>
      <c r="C48" s="173"/>
      <c r="D48" s="58"/>
      <c r="E48" s="174" t="s">
        <v>72</v>
      </c>
      <c r="F48" s="58"/>
      <c r="G48" s="58"/>
      <c r="H48" s="171"/>
      <c r="I48" s="171"/>
      <c r="J48" s="175"/>
      <c r="K48" s="130">
        <f t="shared" si="2"/>
        <v>0</v>
      </c>
    </row>
    <row r="49" spans="2:19" x14ac:dyDescent="0.25">
      <c r="B49" s="177">
        <f>'Memoria de Calculo'!B48</f>
        <v>4</v>
      </c>
      <c r="C49" s="58"/>
      <c r="D49" s="58"/>
      <c r="E49" s="178" t="str">
        <f>'Memoria de Calculo'!E48</f>
        <v>ESQUADRIAS</v>
      </c>
      <c r="F49" s="58"/>
      <c r="G49" s="58"/>
      <c r="H49" s="171"/>
      <c r="I49" s="171"/>
      <c r="J49" s="179"/>
      <c r="K49" s="130">
        <f t="shared" si="2"/>
        <v>0</v>
      </c>
    </row>
    <row r="50" spans="2:19" x14ac:dyDescent="0.25">
      <c r="B50" s="177"/>
      <c r="C50" s="58"/>
      <c r="D50" s="58"/>
      <c r="E50" s="170"/>
      <c r="F50" s="58"/>
      <c r="G50" s="58"/>
      <c r="H50" s="171"/>
      <c r="I50" s="171"/>
      <c r="J50" s="172"/>
      <c r="K50" s="130">
        <f t="shared" si="2"/>
        <v>0</v>
      </c>
      <c r="O50" s="72"/>
      <c r="Q50" s="238"/>
      <c r="R50" s="238"/>
      <c r="S50" s="238"/>
    </row>
    <row r="51" spans="2:19" ht="22.5" x14ac:dyDescent="0.25">
      <c r="B51" s="169" t="str">
        <f>'Memoria de Calculo'!B50</f>
        <v>4.1</v>
      </c>
      <c r="C51" s="58" t="str">
        <f>'Memoria de Calculo'!C50</f>
        <v>ED-49588</v>
      </c>
      <c r="D51" s="58" t="s">
        <v>16</v>
      </c>
      <c r="E51" s="170" t="str">
        <f>'Memoria de Calculo'!E50</f>
        <v xml:space="preserve">FOLHA DE PORTA MADEIRA DE LEI PRANCHETA PARA PINTURA 90X 210 CM </v>
      </c>
      <c r="F51" s="180">
        <f>'Memoria de Calculo'!F50</f>
        <v>3</v>
      </c>
      <c r="G51" s="58" t="str">
        <f>'Memoria de Calculo'!G50</f>
        <v>unid.</v>
      </c>
      <c r="H51" s="171">
        <v>391.45</v>
      </c>
      <c r="I51" s="171">
        <f t="shared" ref="I51:I52" si="34">ROUND(H51*(1+$G$5),2)</f>
        <v>487.47</v>
      </c>
      <c r="J51" s="172">
        <f t="shared" ref="J51:J52" si="35">TRUNC(F51*I51,2)</f>
        <v>1462.41</v>
      </c>
      <c r="K51" s="130">
        <f t="shared" si="2"/>
        <v>1.1248687024369034E-3</v>
      </c>
    </row>
    <row r="52" spans="2:19" ht="22.5" x14ac:dyDescent="0.25">
      <c r="B52" s="169" t="str">
        <f>'Memoria de Calculo'!B51</f>
        <v>4.2</v>
      </c>
      <c r="C52" s="58" t="str">
        <f>'Memoria de Calculo'!C51</f>
        <v>ED-49587</v>
      </c>
      <c r="D52" s="58" t="s">
        <v>16</v>
      </c>
      <c r="E52" s="170" t="str">
        <f>'Memoria de Calculo'!E51</f>
        <v>FOLHA DE PORTA MADEIRA DE LEI PRANCHETA PARA PINTURA 80X 210 C</v>
      </c>
      <c r="F52" s="180">
        <f>'Memoria de Calculo'!F51</f>
        <v>26</v>
      </c>
      <c r="G52" s="58" t="str">
        <f>'Memoria de Calculo'!G51</f>
        <v>unid.</v>
      </c>
      <c r="H52" s="171">
        <v>361.05</v>
      </c>
      <c r="I52" s="171">
        <f t="shared" si="34"/>
        <v>449.62</v>
      </c>
      <c r="J52" s="172">
        <f t="shared" si="35"/>
        <v>11690.12</v>
      </c>
      <c r="K52" s="130">
        <f t="shared" si="2"/>
        <v>8.9919038544127115E-3</v>
      </c>
      <c r="O52" s="41"/>
      <c r="Q52" s="239"/>
      <c r="R52" s="239"/>
      <c r="S52" s="239"/>
    </row>
    <row r="53" spans="2:19" ht="33.75" x14ac:dyDescent="0.25">
      <c r="B53" s="169" t="str">
        <f>'Memoria de Calculo'!B52</f>
        <v>4.3</v>
      </c>
      <c r="C53" s="58" t="str">
        <f>'Memoria de Calculo'!C52</f>
        <v>ED-49698</v>
      </c>
      <c r="D53" s="58" t="s">
        <v>16</v>
      </c>
      <c r="E53" s="170" t="str">
        <f>'Memoria de Calculo'!E52</f>
        <v>DOBRADIÇA DE FERRO, MEDIDAS (3.1/2"X3"), TIPO PINO SOLTO COM BOLA, ACABAMENTO CROMADO, INCLUSIVE ACESSÓRIOS PARA FIXAÇÃO</v>
      </c>
      <c r="F53" s="180">
        <f>'Memoria de Calculo'!F52</f>
        <v>87</v>
      </c>
      <c r="G53" s="58" t="str">
        <f>'Memoria de Calculo'!G52</f>
        <v>unid.</v>
      </c>
      <c r="H53" s="171">
        <v>21.59</v>
      </c>
      <c r="I53" s="171">
        <f t="shared" ref="I53:I54" si="36">ROUND(H53*(1+$G$5),2)</f>
        <v>26.89</v>
      </c>
      <c r="J53" s="172">
        <f t="shared" ref="J53" si="37">TRUNC(F53*I53,2)</f>
        <v>2339.4299999999998</v>
      </c>
      <c r="K53" s="130">
        <f t="shared" si="2"/>
        <v>1.7994622496714085E-3</v>
      </c>
      <c r="O53" s="41"/>
      <c r="Q53" s="102"/>
      <c r="R53" s="102"/>
      <c r="S53" s="102"/>
    </row>
    <row r="54" spans="2:19" ht="45" x14ac:dyDescent="0.25">
      <c r="B54" s="169" t="str">
        <f>'Memoria de Calculo'!B53</f>
        <v>4.4</v>
      </c>
      <c r="C54" s="58" t="str">
        <f>'Memoria de Calculo'!C53</f>
        <v xml:space="preserve">ED-49699 </v>
      </c>
      <c r="D54" s="58" t="s">
        <v>16</v>
      </c>
      <c r="E54" s="170" t="str">
        <f>'Memoria de Calculo'!E53</f>
        <v xml:space="preserve">FECHADURA TIPO EXTERNA, GRAU DE SEGURANÇA MÉDIO, DISTÂNCIA DE BROCA 40MM, ACABAMENTO COM ESPELHO CROMADO E MAÇANETA MODELO ALAVANCA EM ZAMAC, INCLUSIVE ACESSÓRIOS PARA FIXAÇÃO E DUAS (2) CHAVES </v>
      </c>
      <c r="F54" s="180">
        <f>'Memoria de Calculo'!F53</f>
        <v>29</v>
      </c>
      <c r="G54" s="58" t="str">
        <f>'Memoria de Calculo'!G53</f>
        <v>unid.</v>
      </c>
      <c r="H54" s="171">
        <v>22.59</v>
      </c>
      <c r="I54" s="171">
        <f t="shared" si="36"/>
        <v>28.13</v>
      </c>
      <c r="J54" s="172">
        <f t="shared" ref="J54:J55" si="38">TRUNC(F54*I54,2)</f>
        <v>815.77</v>
      </c>
      <c r="K54" s="130">
        <f t="shared" si="2"/>
        <v>6.2748076215763879E-4</v>
      </c>
      <c r="L54" s="209">
        <f>29*28.13</f>
        <v>815.77</v>
      </c>
      <c r="O54" s="41"/>
      <c r="Q54" s="102"/>
      <c r="R54" s="102"/>
      <c r="S54" s="102"/>
    </row>
    <row r="55" spans="2:19" ht="22.5" x14ac:dyDescent="0.25">
      <c r="B55" s="169" t="str">
        <f>'Memoria de Calculo'!B54</f>
        <v>4.5</v>
      </c>
      <c r="C55" s="58" t="str">
        <f>'Memoria de Calculo'!C54</f>
        <v>ED-49611</v>
      </c>
      <c r="D55" s="58" t="s">
        <v>16</v>
      </c>
      <c r="E55" s="170" t="str">
        <f>'Memoria de Calculo'!E54</f>
        <v>RÉGUA PARA ALIZARES DE 5 X 1 CM DE MADEIRA DE LEI PARA PINTURA COLOCADO</v>
      </c>
      <c r="F55" s="180">
        <f>'Memoria de Calculo'!F54</f>
        <v>29</v>
      </c>
      <c r="G55" s="58" t="str">
        <f>'Memoria de Calculo'!G54</f>
        <v xml:space="preserve">cj </v>
      </c>
      <c r="H55" s="171">
        <v>68.989999999999995</v>
      </c>
      <c r="I55" s="171">
        <f t="shared" ref="I55" si="39">ROUND(H55*(1+$G$5),2)</f>
        <v>85.91</v>
      </c>
      <c r="J55" s="172">
        <f t="shared" si="38"/>
        <v>2491.39</v>
      </c>
      <c r="K55" s="130">
        <f t="shared" si="2"/>
        <v>1.9163481079617045E-3</v>
      </c>
      <c r="O55" s="41"/>
      <c r="Q55" s="102"/>
      <c r="R55" s="102"/>
      <c r="S55" s="102"/>
    </row>
    <row r="56" spans="2:19" ht="33.75" x14ac:dyDescent="0.25">
      <c r="B56" s="169" t="str">
        <f>'Memoria de Calculo'!B55</f>
        <v>4.6</v>
      </c>
      <c r="C56" s="58"/>
      <c r="D56" s="181"/>
      <c r="E56" s="170" t="str">
        <f>'Memoria de Calculo'!E55</f>
        <v>PORTA DE ABRIR COM MOLA HIDRÁULICA, EM VIDRO TEMPERADO JATEADO, ESPESSURA 10 MM, INCLUSIVE ACESSÓRIOS. AF_01/2021</v>
      </c>
      <c r="F56" s="180">
        <f>'Memoria de Calculo'!F55</f>
        <v>11.520000000000001</v>
      </c>
      <c r="G56" s="58" t="str">
        <f>'Memoria de Calculo'!G55</f>
        <v>m2</v>
      </c>
      <c r="H56" s="171">
        <v>966.31</v>
      </c>
      <c r="I56" s="171">
        <f t="shared" ref="I56:I57" si="40">ROUND(H56*(1+$G$5),2)</f>
        <v>1203.3499999999999</v>
      </c>
      <c r="J56" s="172">
        <f t="shared" ref="J56" si="41">TRUNC(F56*I56,2)</f>
        <v>13862.59</v>
      </c>
      <c r="K56" s="130">
        <f t="shared" si="2"/>
        <v>1.066294242087704E-2</v>
      </c>
    </row>
    <row r="57" spans="2:19" ht="33.75" x14ac:dyDescent="0.25">
      <c r="B57" s="169" t="str">
        <f>'Memoria de Calculo'!B56</f>
        <v>4.7</v>
      </c>
      <c r="C57" s="58"/>
      <c r="D57" s="181"/>
      <c r="E57" s="170" t="str">
        <f>'Memoria de Calculo'!E56</f>
        <v>PORTA DE ABRIR COM MOLA HIDRÁULICA, EM VIDRO TEMPERADO, 2 FOLHAS, ESPESSURA DD 10MM, INCLUSIVE ACESSÓRIOS. AF_01/2021</v>
      </c>
      <c r="F57" s="180">
        <f>'Memoria de Calculo'!F56</f>
        <v>3.4649999999999999</v>
      </c>
      <c r="G57" s="58" t="str">
        <f>'Memoria de Calculo'!G56</f>
        <v>m2</v>
      </c>
      <c r="H57" s="171">
        <v>968.58</v>
      </c>
      <c r="I57" s="171">
        <f t="shared" si="40"/>
        <v>1206.17</v>
      </c>
      <c r="J57" s="172">
        <f>3.47*1206.17</f>
        <v>4185.4099000000006</v>
      </c>
      <c r="K57" s="130">
        <f t="shared" si="2"/>
        <v>3.2193684420781924E-3</v>
      </c>
      <c r="L57" s="209">
        <f>3.47*1206.17</f>
        <v>4185.4099000000006</v>
      </c>
    </row>
    <row r="58" spans="2:19" ht="22.5" x14ac:dyDescent="0.25">
      <c r="B58" s="169" t="str">
        <f>'Memoria de Calculo'!B57</f>
        <v>4.8</v>
      </c>
      <c r="C58" s="58"/>
      <c r="D58" s="181"/>
      <c r="E58" s="170" t="str">
        <f>'Memoria de Calculo'!E57</f>
        <v>PORTA DE CORRER, EM VIDRO TEMPERADO, 2 FOLHAS, ESPESSURA DD 10MM, INCLUSIVE ACESSÓRIOS. AF_01/2022</v>
      </c>
      <c r="F58" s="180">
        <f>'Memoria de Calculo'!F57</f>
        <v>7.5600000000000005</v>
      </c>
      <c r="G58" s="58" t="str">
        <f>'Memoria de Calculo'!G57</f>
        <v>m3</v>
      </c>
      <c r="H58" s="171">
        <f>H57</f>
        <v>968.58</v>
      </c>
      <c r="I58" s="171">
        <f t="shared" ref="I58:I60" si="42">ROUND(H58*(1+$G$5),2)</f>
        <v>1206.17</v>
      </c>
      <c r="J58" s="172">
        <f t="shared" ref="J58:J60" si="43">TRUNC(F58*I58,2)</f>
        <v>9118.64</v>
      </c>
      <c r="K58" s="130">
        <f t="shared" si="2"/>
        <v>7.0139514532786586E-3</v>
      </c>
    </row>
    <row r="59" spans="2:19" ht="45" x14ac:dyDescent="0.25">
      <c r="B59" s="169" t="str">
        <f>'Memoria de Calculo'!B58</f>
        <v>4.9</v>
      </c>
      <c r="C59" s="58"/>
      <c r="D59" s="58"/>
      <c r="E59" s="170" t="str">
        <f>'Memoria de Calculo'!E58</f>
        <v>JANELA  DE CORRER COM 4 FOLHAS DE VIDROS TEMPERADOS DD 8 MM, BATENTE DE ALUMÍNIO, ACABAMENTO COM ACETATO OU BRILHANTE E FERRAGENS.  FORNECIMENTO E INSTALAÇÃO.</v>
      </c>
      <c r="F59" s="180">
        <f>'Memoria de Calculo'!F58</f>
        <v>57</v>
      </c>
      <c r="G59" s="58" t="str">
        <f>'Memoria de Calculo'!G58</f>
        <v>m2</v>
      </c>
      <c r="H59" s="171">
        <v>600</v>
      </c>
      <c r="I59" s="171">
        <f t="shared" si="42"/>
        <v>747.18</v>
      </c>
      <c r="J59" s="172">
        <f t="shared" si="43"/>
        <v>42589.26</v>
      </c>
      <c r="K59" s="130">
        <f t="shared" si="2"/>
        <v>3.2759161681025092E-2</v>
      </c>
    </row>
    <row r="60" spans="2:19" ht="33.75" x14ac:dyDescent="0.25">
      <c r="B60" s="169" t="str">
        <f>'Memoria de Calculo'!B59</f>
        <v>4.10</v>
      </c>
      <c r="C60" s="58"/>
      <c r="D60" s="58"/>
      <c r="E60" s="170" t="str">
        <f>'Memoria de Calculo'!E59</f>
        <v>JANELA  TIPO MAXIM-AR, COM VIDROS TEMPERADOS, BATENTE E FERRAGENS DE ALUMÍNIO . FORNECIMENTO E INSTALAÇÃO.</v>
      </c>
      <c r="F60" s="180">
        <f>'Memoria de Calculo'!F59</f>
        <v>6.35</v>
      </c>
      <c r="G60" s="58" t="str">
        <f>'Memoria de Calculo'!G59</f>
        <v>m2</v>
      </c>
      <c r="H60" s="171">
        <v>500</v>
      </c>
      <c r="I60" s="171">
        <f t="shared" si="42"/>
        <v>622.65</v>
      </c>
      <c r="J60" s="172">
        <f t="shared" si="43"/>
        <v>3953.82</v>
      </c>
      <c r="K60" s="130">
        <f t="shared" si="2"/>
        <v>3.0412321941651636E-3</v>
      </c>
    </row>
    <row r="61" spans="2:19" x14ac:dyDescent="0.25">
      <c r="B61" s="169"/>
      <c r="C61" s="173"/>
      <c r="D61" s="58"/>
      <c r="E61" s="174" t="s">
        <v>72</v>
      </c>
      <c r="F61" s="58"/>
      <c r="G61" s="58"/>
      <c r="H61" s="171"/>
      <c r="I61" s="171"/>
      <c r="J61" s="175">
        <f>TRUNC(SUM(J51:J60),2)</f>
        <v>92508.83</v>
      </c>
      <c r="K61" s="130">
        <f t="shared" si="2"/>
        <v>7.1156712253100066E-2</v>
      </c>
    </row>
    <row r="62" spans="2:19" x14ac:dyDescent="0.25">
      <c r="B62" s="169"/>
      <c r="C62" s="173"/>
      <c r="D62" s="58"/>
      <c r="E62" s="174"/>
      <c r="F62" s="58"/>
      <c r="G62" s="58"/>
      <c r="H62" s="171"/>
      <c r="I62" s="171"/>
      <c r="J62" s="182"/>
      <c r="K62" s="130">
        <f t="shared" si="2"/>
        <v>0</v>
      </c>
    </row>
    <row r="63" spans="2:19" x14ac:dyDescent="0.25">
      <c r="B63" s="177" t="s">
        <v>185</v>
      </c>
      <c r="C63" s="58"/>
      <c r="D63" s="58"/>
      <c r="E63" s="183" t="str">
        <f>'Memoria de Calculo'!E62</f>
        <v>PISOS E REVESTIMENTOS</v>
      </c>
      <c r="F63" s="58"/>
      <c r="G63" s="58"/>
      <c r="H63" s="171"/>
      <c r="I63" s="171"/>
      <c r="J63" s="179"/>
      <c r="K63" s="130">
        <f t="shared" si="2"/>
        <v>0</v>
      </c>
    </row>
    <row r="64" spans="2:19" x14ac:dyDescent="0.25">
      <c r="B64" s="169"/>
      <c r="C64" s="58"/>
      <c r="D64" s="58"/>
      <c r="E64" s="183" t="str">
        <f>'Memoria de Calculo'!E63</f>
        <v>PAREDES</v>
      </c>
      <c r="F64" s="58"/>
      <c r="G64" s="58"/>
      <c r="H64" s="171"/>
      <c r="I64" s="171"/>
      <c r="J64" s="172"/>
      <c r="K64" s="130">
        <f t="shared" si="2"/>
        <v>0</v>
      </c>
    </row>
    <row r="65" spans="2:13" ht="78.75" x14ac:dyDescent="0.25">
      <c r="B65" s="169" t="str">
        <f>'Memoria de Calculo'!B64</f>
        <v>5.1.1</v>
      </c>
      <c r="C65" s="58"/>
      <c r="D65" s="58"/>
      <c r="E65" s="184" t="str">
        <f>'Memoria de Calculo'!E64</f>
        <v xml:space="preserve">REVESTIMENTO COM PORCELANATO ACETINADO IIIUMINATO SANTIN 90cmx90cm RETIFICADO BEGE BIANCOGRÊ, APLICADO EM PAREDE, AMBIENTE INTERNO, PADRÃO EXTRA, ASSENTAMENTO COM ARGAMASSA INDUSTRIALIZADA, INCLUSIVE
REJUNTAMENTO
</v>
      </c>
      <c r="F65" s="180">
        <f>'Memoria de Calculo'!F64</f>
        <v>185.25800000000004</v>
      </c>
      <c r="G65" s="58" t="str">
        <f>'Memoria de Calculo'!G64</f>
        <v>m2</v>
      </c>
      <c r="H65" s="171">
        <v>123.05</v>
      </c>
      <c r="I65" s="171">
        <f t="shared" ref="I65:I66" si="44">ROUND(H65*(1+$G$5),2)</f>
        <v>153.22999999999999</v>
      </c>
      <c r="J65" s="172">
        <f>185.26*153.23</f>
        <v>28387.389799999997</v>
      </c>
      <c r="K65" s="130">
        <f t="shared" si="2"/>
        <v>2.1835248890459295E-2</v>
      </c>
      <c r="L65" s="209">
        <f>185.26*153.23</f>
        <v>28387.389799999997</v>
      </c>
    </row>
    <row r="66" spans="2:13" ht="56.25" x14ac:dyDescent="0.25">
      <c r="B66" s="169" t="str">
        <f>'Memoria de Calculo'!B65</f>
        <v>5.1.2</v>
      </c>
      <c r="C66" s="58"/>
      <c r="D66" s="58"/>
      <c r="E66" s="184" t="str">
        <f>'Memoria de Calculo'!E65</f>
        <v>REVESTIMENTO EM PEDRA PORTUGUESA, INCLUSIVE FORNECIMENTO E PREPARO MECÂNICO DE ARGAMASSA SECA, TIPO FAROFA, PARA
ASSENTAMENTO EM COLCHÃO DE AREIA E CIMENTO, ESP. 6CM, REJUNTAMENTO E ACABAMENTO</v>
      </c>
      <c r="F66" s="180">
        <f>'Memoria de Calculo'!F65</f>
        <v>36.792000000000009</v>
      </c>
      <c r="G66" s="58" t="str">
        <f>'Memoria de Calculo'!G65</f>
        <v>m2</v>
      </c>
      <c r="H66" s="171">
        <v>103.34</v>
      </c>
      <c r="I66" s="171">
        <f t="shared" si="44"/>
        <v>128.69</v>
      </c>
      <c r="J66" s="172">
        <f>36.79*128.69</f>
        <v>4734.5050999999994</v>
      </c>
      <c r="K66" s="130">
        <f t="shared" si="2"/>
        <v>3.6417260607612776E-3</v>
      </c>
      <c r="L66" s="209">
        <f>36.79*128.69</f>
        <v>4734.5050999999994</v>
      </c>
    </row>
    <row r="67" spans="2:13" x14ac:dyDescent="0.25">
      <c r="B67" s="169"/>
      <c r="C67" s="173"/>
      <c r="D67" s="58"/>
      <c r="E67" s="174" t="s">
        <v>72</v>
      </c>
      <c r="F67" s="58"/>
      <c r="G67" s="58"/>
      <c r="H67" s="171"/>
      <c r="I67" s="171"/>
      <c r="J67" s="175">
        <f>TRUNC(SUM(J65:J66),2)</f>
        <v>33121.89</v>
      </c>
      <c r="K67" s="130">
        <f t="shared" si="2"/>
        <v>2.5476971182197768E-2</v>
      </c>
    </row>
    <row r="68" spans="2:13" x14ac:dyDescent="0.25">
      <c r="B68" s="177" t="s">
        <v>32</v>
      </c>
      <c r="C68" s="58"/>
      <c r="D68" s="58"/>
      <c r="E68" s="185" t="str">
        <f>'Memoria de Calculo'!E66</f>
        <v>ESCADA</v>
      </c>
      <c r="F68" s="180"/>
      <c r="G68" s="58"/>
      <c r="H68" s="171"/>
      <c r="I68" s="171"/>
      <c r="J68" s="186"/>
      <c r="K68" s="130">
        <f t="shared" si="2"/>
        <v>0</v>
      </c>
    </row>
    <row r="69" spans="2:13" ht="33.75" x14ac:dyDescent="0.25">
      <c r="B69" s="169" t="s">
        <v>186</v>
      </c>
      <c r="C69" s="58"/>
      <c r="D69" s="58"/>
      <c r="E69" s="184" t="str">
        <f>'Memoria de Calculo'!E67</f>
        <v>PISO DE GRANITO MARTA ROCHA E = 2CM, L = 28 CM, ASSENTADO COM ARGAMASSA INDUSTRIALIZADA, INCLUSIVE REJUNTAMENTO</v>
      </c>
      <c r="F69" s="180">
        <f>'Memoria de Calculo'!F67</f>
        <v>19.8</v>
      </c>
      <c r="G69" s="58" t="str">
        <f>'Memoria de Calculo'!G67</f>
        <v>m</v>
      </c>
      <c r="H69" s="171">
        <v>235.6</v>
      </c>
      <c r="I69" s="171">
        <f t="shared" ref="I69" si="45">ROUND(H69*(1+$G$5),2)</f>
        <v>293.39</v>
      </c>
      <c r="J69" s="172">
        <f t="shared" ref="J69" si="46">TRUNC(F69*I69,2)</f>
        <v>5809.12</v>
      </c>
      <c r="K69" s="130">
        <f t="shared" si="2"/>
        <v>4.4683072987057411E-3</v>
      </c>
    </row>
    <row r="70" spans="2:13" ht="33.75" x14ac:dyDescent="0.25">
      <c r="B70" s="169" t="s">
        <v>187</v>
      </c>
      <c r="C70" s="58"/>
      <c r="D70" s="58"/>
      <c r="E70" s="184" t="str">
        <f>'Memoria de Calculo'!E68</f>
        <v>ESPELHO DE GRANITO MARTA ROCHA E = 2CM, L = 18 CM, ASSENTADO COM ARGAMASSA INDUSTRIALIZADA, INCLUSIVE REJUNTAMENTO</v>
      </c>
      <c r="F70" s="180">
        <f>'Memoria de Calculo'!F68</f>
        <v>20.900000000000002</v>
      </c>
      <c r="G70" s="58" t="str">
        <f>'Memoria de Calculo'!G68</f>
        <v>m</v>
      </c>
      <c r="H70" s="171">
        <v>182.14</v>
      </c>
      <c r="I70" s="171">
        <f t="shared" ref="I70:I72" si="47">ROUND(H70*(1+$G$5),2)</f>
        <v>226.82</v>
      </c>
      <c r="J70" s="172">
        <f t="shared" ref="J70:J72" si="48">TRUNC(F70*I70,2)</f>
        <v>4740.53</v>
      </c>
      <c r="K70" s="130">
        <f t="shared" si="2"/>
        <v>3.6463603435173534E-3</v>
      </c>
    </row>
    <row r="71" spans="2:13" ht="33.75" x14ac:dyDescent="0.25">
      <c r="B71" s="169" t="s">
        <v>188</v>
      </c>
      <c r="C71" s="58"/>
      <c r="D71" s="58"/>
      <c r="E71" s="184" t="str">
        <f>'Memoria de Calculo'!E69</f>
        <v>PATAMAR DE GRANITO MARTA ROCHA E = 2CM, ASSENTADO COM ARGAMASSA INDUSTRIALIZADA, INCLUSIVE REJUNTAMENTO</v>
      </c>
      <c r="F71" s="180">
        <f>'Memoria de Calculo'!F69</f>
        <v>1.298</v>
      </c>
      <c r="G71" s="58" t="str">
        <f>'Memoria de Calculo'!G69</f>
        <v>m2</v>
      </c>
      <c r="H71" s="171">
        <f>Composição!F19</f>
        <v>534.52667999999994</v>
      </c>
      <c r="I71" s="171">
        <f t="shared" si="47"/>
        <v>665.65</v>
      </c>
      <c r="J71" s="172">
        <f>1.3*665.65</f>
        <v>865.34500000000003</v>
      </c>
      <c r="K71" s="130">
        <f t="shared" si="2"/>
        <v>6.6561327350760872E-4</v>
      </c>
      <c r="L71" s="209">
        <f>1.3*665.65</f>
        <v>865.34500000000003</v>
      </c>
    </row>
    <row r="72" spans="2:13" ht="33.75" x14ac:dyDescent="0.25">
      <c r="B72" s="169" t="s">
        <v>189</v>
      </c>
      <c r="C72" s="58"/>
      <c r="D72" s="58"/>
      <c r="E72" s="184" t="str">
        <f>'Memoria de Calculo'!E70</f>
        <v>RODAPÉ COM REVESTIMENTO EM GRANITO MARTA ROCHA ESP. 2CM, ALTURA 10CM, ASSENTAMENTO COM ARGAMASSA INDUSTRIALIZADA, INCLUSIVE REJUNTAMENTO</v>
      </c>
      <c r="F72" s="180">
        <f>'Memoria de Calculo'!F70</f>
        <v>19.200000000000003</v>
      </c>
      <c r="G72" s="58" t="str">
        <f>'Memoria de Calculo'!G70</f>
        <v>m</v>
      </c>
      <c r="H72" s="171">
        <v>56.45</v>
      </c>
      <c r="I72" s="171">
        <f t="shared" si="47"/>
        <v>70.3</v>
      </c>
      <c r="J72" s="172">
        <f t="shared" si="48"/>
        <v>1349.76</v>
      </c>
      <c r="K72" s="130">
        <f t="shared" si="2"/>
        <v>1.0382196373118582E-3</v>
      </c>
    </row>
    <row r="73" spans="2:13" x14ac:dyDescent="0.25">
      <c r="B73" s="169"/>
      <c r="C73" s="173"/>
      <c r="D73" s="58"/>
      <c r="E73" s="174" t="s">
        <v>72</v>
      </c>
      <c r="F73" s="58"/>
      <c r="G73" s="58"/>
      <c r="H73" s="171"/>
      <c r="I73" s="171"/>
      <c r="J73" s="175">
        <f>TRUNC(SUM(J69:J72),2)</f>
        <v>12764.75</v>
      </c>
      <c r="K73" s="130">
        <f t="shared" si="2"/>
        <v>9.8184967071009224E-3</v>
      </c>
    </row>
    <row r="74" spans="2:13" x14ac:dyDescent="0.25">
      <c r="B74" s="177"/>
      <c r="C74" s="173"/>
      <c r="D74" s="58"/>
      <c r="E74" s="183"/>
      <c r="F74" s="58"/>
      <c r="G74" s="58"/>
      <c r="H74" s="171"/>
      <c r="I74" s="171"/>
      <c r="J74" s="182"/>
      <c r="K74" s="130">
        <f t="shared" ref="K74:K138" si="49">J74/I$145</f>
        <v>0</v>
      </c>
    </row>
    <row r="75" spans="2:13" x14ac:dyDescent="0.25">
      <c r="B75" s="177" t="str">
        <f>'Memoria de Calculo'!B71</f>
        <v>5.3</v>
      </c>
      <c r="C75" s="58"/>
      <c r="D75" s="58"/>
      <c r="E75" s="183" t="str">
        <f>'Memoria de Calculo'!E71</f>
        <v>PISOS</v>
      </c>
      <c r="F75" s="58"/>
      <c r="G75" s="58"/>
      <c r="H75" s="171"/>
      <c r="I75" s="171"/>
      <c r="J75" s="172"/>
      <c r="K75" s="130">
        <f t="shared" si="49"/>
        <v>0</v>
      </c>
    </row>
    <row r="76" spans="2:13" ht="45" x14ac:dyDescent="0.25">
      <c r="B76" s="169" t="s">
        <v>117</v>
      </c>
      <c r="C76" s="58"/>
      <c r="D76" s="58"/>
      <c r="E76" s="184" t="str">
        <f>'Memoria de Calculo'!E72</f>
        <v xml:space="preserve"> REVESTIMENTO CERÂMICO PARA PISO COM PLACAS TIPO  PORCELANATO ACETINADO IIIUMINATO SANTIN 90cmx90cm RETIFICADO BEGE BIANCOGRÊ APLICADA EM AMBIENTES DE ÁREA ENTRE 5 M² E 10 M². AF_06/2014</v>
      </c>
      <c r="F76" s="214">
        <v>670.25969999999995</v>
      </c>
      <c r="G76" s="58" t="str">
        <f>'Memoria de Calculo'!G72</f>
        <v>m2</v>
      </c>
      <c r="H76" s="171">
        <v>159.30000000000001</v>
      </c>
      <c r="I76" s="171">
        <f t="shared" ref="I76" si="50">ROUND(H76*(1+$G$5),2)</f>
        <v>198.38</v>
      </c>
      <c r="J76" s="172">
        <f>670.2597*198.38</f>
        <v>132966.119286</v>
      </c>
      <c r="K76" s="130">
        <f t="shared" si="49"/>
        <v>0.10227598694573568</v>
      </c>
      <c r="L76" s="212">
        <f>L147</f>
        <v>0</v>
      </c>
      <c r="M76">
        <f>670.2597*198.38</f>
        <v>132966.119286</v>
      </c>
    </row>
    <row r="77" spans="2:13" ht="45" x14ac:dyDescent="0.25">
      <c r="B77" s="169" t="s">
        <v>118</v>
      </c>
      <c r="C77" s="58"/>
      <c r="D77" s="58"/>
      <c r="E77" s="184" t="str">
        <f>'Memoria de Calculo'!E73</f>
        <v>RODAPÉ COM REVESTIMENTO EM CERÂMICA  TIPO PORCELANATO COMERCIAL, ALTURA 10CM, PEI IV, ASSENTAMENTO COM ARGAMASSA INDUSTRIALIZADA, INCLUSIVE REJUNTAMENTO</v>
      </c>
      <c r="F77" s="180">
        <f>'Memoria de Calculo'!F73</f>
        <v>482.39</v>
      </c>
      <c r="G77" s="58" t="str">
        <f>'Memoria de Calculo'!G73</f>
        <v>m</v>
      </c>
      <c r="H77" s="171">
        <v>11.51</v>
      </c>
      <c r="I77" s="171">
        <f t="shared" ref="I77" si="51">ROUND(H77*(1+$G$5),2)</f>
        <v>14.33</v>
      </c>
      <c r="J77" s="172">
        <f t="shared" ref="J77" si="52">TRUNC(F77*I77,2)</f>
        <v>6912.64</v>
      </c>
      <c r="K77" s="130">
        <f t="shared" si="49"/>
        <v>5.31712200218368E-3</v>
      </c>
    </row>
    <row r="78" spans="2:13" x14ac:dyDescent="0.25">
      <c r="B78" s="169" t="s">
        <v>224</v>
      </c>
      <c r="C78" s="58" t="s">
        <v>169</v>
      </c>
      <c r="D78" s="58"/>
      <c r="E78" s="187" t="str">
        <f>'Memoria de Calculo'!E74</f>
        <v>SOLEIRA GRANITO MARTA ROCHA E = 3 CM</v>
      </c>
      <c r="F78" s="180">
        <f>'Memoria de Calculo'!F74</f>
        <v>13.736500000000001</v>
      </c>
      <c r="G78" s="58" t="str">
        <f>'Memoria de Calculo'!G74</f>
        <v>m2</v>
      </c>
      <c r="H78" s="171">
        <v>313.26</v>
      </c>
      <c r="I78" s="171">
        <f t="shared" ref="I78:I79" si="53">ROUND(H78*(1+$G$5),2)</f>
        <v>390.1</v>
      </c>
      <c r="J78" s="172">
        <f>13.74*390.1</f>
        <v>5359.9740000000002</v>
      </c>
      <c r="K78" s="130">
        <f t="shared" si="49"/>
        <v>4.1228294380341616E-3</v>
      </c>
      <c r="L78" s="209">
        <f>13.74*390.1</f>
        <v>5359.9740000000002</v>
      </c>
    </row>
    <row r="79" spans="2:13" x14ac:dyDescent="0.25">
      <c r="B79" s="169" t="s">
        <v>225</v>
      </c>
      <c r="C79" s="58" t="s">
        <v>169</v>
      </c>
      <c r="D79" s="58"/>
      <c r="E79" s="184" t="str">
        <f>'Memoria de Calculo'!E75</f>
        <v>PEITORIL DE GRANITO MARTA ROCHA  E = 2 CM</v>
      </c>
      <c r="F79" s="180">
        <f>'Memoria de Calculo'!F75</f>
        <v>12.360000000000003</v>
      </c>
      <c r="G79" s="58" t="str">
        <f>'Memoria de Calculo'!G75</f>
        <v>m2</v>
      </c>
      <c r="H79" s="171">
        <v>295.14</v>
      </c>
      <c r="I79" s="171">
        <f t="shared" si="53"/>
        <v>367.54</v>
      </c>
      <c r="J79" s="172">
        <f t="shared" ref="J79" si="54">TRUNC(F79*I79,2)</f>
        <v>4542.79</v>
      </c>
      <c r="K79" s="130">
        <f t="shared" si="49"/>
        <v>3.494261043581034E-3</v>
      </c>
    </row>
    <row r="80" spans="2:13" ht="33.75" x14ac:dyDescent="0.25">
      <c r="B80" s="169" t="s">
        <v>226</v>
      </c>
      <c r="C80" s="58" t="str">
        <f>'Memoria de Calculo'!C76</f>
        <v xml:space="preserve">ED-50170 </v>
      </c>
      <c r="D80" s="58" t="str">
        <f>'Memoria de Calculo'!D76</f>
        <v>SETOP</v>
      </c>
      <c r="E80" s="184" t="str">
        <f>'Memoria de Calculo'!E76</f>
        <v>CAMADA DE REGULARIZAÇÃO COM ARGAMASSA, TRAÇO 1:3 (CIMENTO E AREIA), ESP. 30MM, APLICAÇÃO MANUAL, PREPARO MECÂNICO</v>
      </c>
      <c r="F80" s="180">
        <f>'Memoria de Calculo'!F76</f>
        <v>691.86000000000024</v>
      </c>
      <c r="G80" s="58" t="str">
        <f>'Memoria de Calculo'!G76</f>
        <v>m2</v>
      </c>
      <c r="H80" s="171">
        <v>37.950000000000003</v>
      </c>
      <c r="I80" s="171">
        <f t="shared" ref="I80" si="55">ROUND(H80*(1+$G$5),2)</f>
        <v>47.26</v>
      </c>
      <c r="J80" s="172">
        <f t="shared" ref="J80" si="56">TRUNC(F80*I80,2)</f>
        <v>32697.3</v>
      </c>
      <c r="K80" s="130">
        <f t="shared" si="49"/>
        <v>2.5150381510103292E-2</v>
      </c>
    </row>
    <row r="81" spans="2:12" ht="22.5" x14ac:dyDescent="0.25">
      <c r="B81" s="169" t="s">
        <v>227</v>
      </c>
      <c r="C81" s="58" t="str">
        <f>'Memoria de Calculo'!C77</f>
        <v>ED-51145</v>
      </c>
      <c r="D81" s="58" t="str">
        <f>'Memoria de Calculo'!D77</f>
        <v>SETOP</v>
      </c>
      <c r="E81" s="184" t="str">
        <f>'Memoria de Calculo'!E77</f>
        <v xml:space="preserve"> PASSEIOS DE CONCRETO E = 6 CM, FCK = 10 MPA, JUNTA SECA</v>
      </c>
      <c r="F81" s="180">
        <f>'Memoria de Calculo'!F77</f>
        <v>109.19999999999999</v>
      </c>
      <c r="G81" s="58" t="str">
        <f>'Memoria de Calculo'!G77</f>
        <v>m2</v>
      </c>
      <c r="H81" s="171">
        <v>55.08</v>
      </c>
      <c r="I81" s="171">
        <f t="shared" ref="I81" si="57">ROUND(H81*(1+$G$5),2)</f>
        <v>68.59</v>
      </c>
      <c r="J81" s="172">
        <f t="shared" ref="J81" si="58">TRUNC(F81*I81,2)</f>
        <v>7490.02</v>
      </c>
      <c r="K81" s="130">
        <f t="shared" si="49"/>
        <v>5.7612359588805158E-3</v>
      </c>
    </row>
    <row r="82" spans="2:12" ht="44.25" customHeight="1" x14ac:dyDescent="0.25">
      <c r="B82" s="169" t="s">
        <v>228</v>
      </c>
      <c r="C82" s="58" t="str">
        <f>'Memoria de Calculo'!C78</f>
        <v>ED-51148</v>
      </c>
      <c r="D82" s="58" t="str">
        <f>'Memoria de Calculo'!D78</f>
        <v>SETOP</v>
      </c>
      <c r="E82" s="184" t="str">
        <f>'Memoria de Calculo'!E78</f>
        <v>RAMPA PARA ACESSO DE DEFICIENTE, EM CONCRETO SIMPLESFCK = 25 MPA, DESEMPENADA, COM PINTURA INDICATIVA, 02 DEMÃOS
U 371,62</v>
      </c>
      <c r="F82" s="180">
        <f>'Memoria de Calculo'!F78</f>
        <v>2</v>
      </c>
      <c r="G82" s="58" t="str">
        <f>'Memoria de Calculo'!G78</f>
        <v>unid.</v>
      </c>
      <c r="H82" s="171">
        <v>371.62</v>
      </c>
      <c r="I82" s="171">
        <f t="shared" ref="I82" si="59">ROUND(H82*(1+$G$5),2)</f>
        <v>462.78</v>
      </c>
      <c r="J82" s="172">
        <f t="shared" ref="J82" si="60">TRUNC(F82*I82,2)</f>
        <v>925.56</v>
      </c>
      <c r="K82" s="130">
        <f t="shared" si="49"/>
        <v>7.1192994866521705E-4</v>
      </c>
    </row>
    <row r="83" spans="2:12" ht="36" customHeight="1" x14ac:dyDescent="0.25">
      <c r="B83" s="169" t="s">
        <v>244</v>
      </c>
      <c r="C83" s="58" t="str">
        <f>'Memoria de Calculo'!C79</f>
        <v xml:space="preserve">ED-50581 </v>
      </c>
      <c r="D83" s="58" t="str">
        <f>'Memoria de Calculo'!D79</f>
        <v>SETOP</v>
      </c>
      <c r="E83" s="184" t="str">
        <f>'Memoria de Calculo'!E79</f>
        <v xml:space="preserve">REVESTIMENTO COM LADRILHO HIDRÁULICO APLICADO EM PISO (20X20CM) COM JUNTA SECA, COM UMA (1) COR, ASSENTAMENTO COM ARGAMASSA INDUSTRIALIZADA </v>
      </c>
      <c r="F83" s="180">
        <f>'Memoria de Calculo'!F79</f>
        <v>109.19999999999999</v>
      </c>
      <c r="G83" s="58" t="str">
        <f>'Memoria de Calculo'!G79</f>
        <v>m2</v>
      </c>
      <c r="H83" s="171">
        <v>80.81</v>
      </c>
      <c r="I83" s="171">
        <f t="shared" ref="I83" si="61">ROUND(H83*(1+$G$5),2)</f>
        <v>100.63</v>
      </c>
      <c r="J83" s="172">
        <f t="shared" ref="J83" si="62">TRUNC(F83*I83,2)</f>
        <v>10988.79</v>
      </c>
      <c r="K83" s="130">
        <f t="shared" si="49"/>
        <v>8.4524490044868526E-3</v>
      </c>
    </row>
    <row r="84" spans="2:12" ht="22.5" x14ac:dyDescent="0.25">
      <c r="B84" s="169" t="s">
        <v>413</v>
      </c>
      <c r="C84" s="58" t="s">
        <v>169</v>
      </c>
      <c r="D84" s="58"/>
      <c r="E84" s="184" t="str">
        <f>'Memoria de Calculo'!E80</f>
        <v xml:space="preserve">FORNECIMENTO E INSTAÇÃO CARPETE COMERCIAL EM ROLO, ESPESSURA 6,0 mm (± 10%), FIXADO COM COLA. </v>
      </c>
      <c r="F84" s="180">
        <f>'Memoria de Calculo'!F80</f>
        <v>156.61000000000001</v>
      </c>
      <c r="G84" s="58" t="str">
        <f>'Memoria de Calculo'!G80</f>
        <v>m2</v>
      </c>
      <c r="H84" s="171">
        <f>7.85+59.7</f>
        <v>67.55</v>
      </c>
      <c r="I84" s="171">
        <f t="shared" ref="I84" si="63">ROUND(H84*(1+$G$5),2)</f>
        <v>84.12</v>
      </c>
      <c r="J84" s="172">
        <f t="shared" ref="J84" si="64">TRUNC(F84*I84,2)</f>
        <v>13174.03</v>
      </c>
      <c r="K84" s="130">
        <f t="shared" si="49"/>
        <v>1.0133310105897004E-2</v>
      </c>
    </row>
    <row r="85" spans="2:12" x14ac:dyDescent="0.25">
      <c r="B85" s="169"/>
      <c r="C85" s="58"/>
      <c r="D85" s="58"/>
      <c r="E85" s="174" t="s">
        <v>72</v>
      </c>
      <c r="F85" s="58"/>
      <c r="G85" s="58"/>
      <c r="H85" s="171"/>
      <c r="I85" s="171"/>
      <c r="J85" s="175">
        <f>TRUNC(SUM(J76:J84),2)</f>
        <v>215057.22</v>
      </c>
      <c r="K85" s="130">
        <f t="shared" si="49"/>
        <v>0.1654195034300146</v>
      </c>
      <c r="L85" s="210"/>
    </row>
    <row r="86" spans="2:12" x14ac:dyDescent="0.25">
      <c r="B86" s="177" t="s">
        <v>34</v>
      </c>
      <c r="C86" s="58"/>
      <c r="D86" s="58"/>
      <c r="E86" s="178" t="str">
        <f>'Memoria de Calculo'!E82</f>
        <v>TETOS</v>
      </c>
      <c r="F86" s="58"/>
      <c r="G86" s="58"/>
      <c r="H86" s="171"/>
      <c r="I86" s="171"/>
      <c r="J86" s="172"/>
      <c r="K86" s="130">
        <f t="shared" si="49"/>
        <v>0</v>
      </c>
      <c r="L86" s="210"/>
    </row>
    <row r="87" spans="2:12" x14ac:dyDescent="0.25">
      <c r="B87" s="169"/>
      <c r="C87" s="58"/>
      <c r="D87" s="58"/>
      <c r="E87" s="178"/>
      <c r="F87" s="58"/>
      <c r="G87" s="58"/>
      <c r="H87" s="171"/>
      <c r="I87" s="171"/>
      <c r="J87" s="172"/>
      <c r="K87" s="130">
        <f t="shared" si="49"/>
        <v>0</v>
      </c>
      <c r="L87" s="210"/>
    </row>
    <row r="88" spans="2:12" x14ac:dyDescent="0.25">
      <c r="B88" s="169" t="s">
        <v>229</v>
      </c>
      <c r="C88" s="58" t="str">
        <f>'Memoria de Calculo'!C84</f>
        <v>ED-49685</v>
      </c>
      <c r="D88" s="58" t="str">
        <f>'Memoria de Calculo'!D84</f>
        <v>SETOP</v>
      </c>
      <c r="E88" s="176" t="str">
        <f>'Memoria de Calculo'!E84</f>
        <v xml:space="preserve"> FORRO DE GESSO EM PLACAS 60 X 60 CM LISO </v>
      </c>
      <c r="F88" s="180">
        <f>'Memoria de Calculo'!F84</f>
        <v>535.25000000000023</v>
      </c>
      <c r="G88" s="58" t="str">
        <f>'Memoria de Calculo'!G84</f>
        <v>m2</v>
      </c>
      <c r="H88" s="171">
        <v>39.119999999999997</v>
      </c>
      <c r="I88" s="171">
        <f t="shared" ref="I88" si="65">ROUND(H88*(1+$G$5),2)</f>
        <v>48.72</v>
      </c>
      <c r="J88" s="172">
        <f t="shared" ref="J88" si="66">TRUNC(F88*I88,2)</f>
        <v>26077.38</v>
      </c>
      <c r="K88" s="130">
        <f t="shared" si="49"/>
        <v>2.0058416315229009E-2</v>
      </c>
      <c r="L88" s="210"/>
    </row>
    <row r="89" spans="2:12" x14ac:dyDescent="0.25">
      <c r="B89" s="169" t="s">
        <v>230</v>
      </c>
      <c r="C89" s="58" t="str">
        <f>'Memoria de Calculo'!C85</f>
        <v>ED-49686</v>
      </c>
      <c r="D89" s="58" t="str">
        <f>'Memoria de Calculo'!D85</f>
        <v>SETOP</v>
      </c>
      <c r="E89" s="176" t="str">
        <f>'Memoria de Calculo'!E85</f>
        <v xml:space="preserve"> FORRO DE GESSO EM PLACAS ACARTONADAS - FGE </v>
      </c>
      <c r="F89" s="180">
        <f>'Memoria de Calculo'!F85</f>
        <v>156.61000000000001</v>
      </c>
      <c r="G89" s="58" t="str">
        <f>'Memoria de Calculo'!G85</f>
        <v>m2</v>
      </c>
      <c r="H89" s="171">
        <v>50.01</v>
      </c>
      <c r="I89" s="171">
        <f t="shared" ref="I89" si="67">ROUND(H89*(1+$G$5),2)</f>
        <v>62.28</v>
      </c>
      <c r="J89" s="172">
        <f t="shared" ref="J89" si="68">TRUNC(F89*I89,2)</f>
        <v>9753.67</v>
      </c>
      <c r="K89" s="130">
        <f t="shared" si="49"/>
        <v>7.5024091170723325E-3</v>
      </c>
      <c r="L89" s="210"/>
    </row>
    <row r="90" spans="2:12" x14ac:dyDescent="0.25">
      <c r="B90" s="169"/>
      <c r="C90" s="58"/>
      <c r="D90" s="58"/>
      <c r="E90" s="174" t="s">
        <v>72</v>
      </c>
      <c r="F90" s="58"/>
      <c r="G90" s="58"/>
      <c r="H90" s="171"/>
      <c r="I90" s="171"/>
      <c r="J90" s="175">
        <f>TRUNC(SUM(J88:J89),2)</f>
        <v>35831.050000000003</v>
      </c>
      <c r="K90" s="130">
        <f t="shared" si="49"/>
        <v>2.7560825432301341E-2</v>
      </c>
      <c r="L90" s="210"/>
    </row>
    <row r="91" spans="2:12" x14ac:dyDescent="0.25">
      <c r="B91" s="169"/>
      <c r="C91" s="58"/>
      <c r="D91" s="58"/>
      <c r="E91" s="174" t="s">
        <v>406</v>
      </c>
      <c r="F91" s="58"/>
      <c r="G91" s="58"/>
      <c r="H91" s="171"/>
      <c r="I91" s="171"/>
      <c r="J91" s="175">
        <f>TRUNC(J90+J85+J73+J67,2)</f>
        <v>296774.90999999997</v>
      </c>
      <c r="K91" s="130">
        <f t="shared" si="49"/>
        <v>0.22827579675161461</v>
      </c>
      <c r="L91" s="210"/>
    </row>
    <row r="92" spans="2:12" x14ac:dyDescent="0.25">
      <c r="B92" s="169"/>
      <c r="C92" s="58"/>
      <c r="D92" s="58"/>
      <c r="E92" s="174"/>
      <c r="F92" s="58"/>
      <c r="G92" s="58"/>
      <c r="H92" s="171"/>
      <c r="I92" s="171"/>
      <c r="J92" s="175"/>
      <c r="K92" s="130">
        <f t="shared" si="49"/>
        <v>0</v>
      </c>
      <c r="L92" s="210"/>
    </row>
    <row r="93" spans="2:12" x14ac:dyDescent="0.25">
      <c r="B93" s="177">
        <f>'Memoria de Calculo'!B87</f>
        <v>6</v>
      </c>
      <c r="C93" s="58"/>
      <c r="D93" s="58"/>
      <c r="E93" s="178" t="str">
        <f>'Memoria de Calculo'!E87</f>
        <v>PINTURAS</v>
      </c>
      <c r="F93" s="58"/>
      <c r="G93" s="58"/>
      <c r="H93" s="171"/>
      <c r="I93" s="171"/>
      <c r="J93" s="179"/>
      <c r="K93" s="130">
        <f t="shared" si="49"/>
        <v>0</v>
      </c>
      <c r="L93" s="210"/>
    </row>
    <row r="94" spans="2:12" x14ac:dyDescent="0.25">
      <c r="B94" s="169" t="str">
        <f>'Memoria de Calculo'!B88</f>
        <v>6.1</v>
      </c>
      <c r="C94" s="58"/>
      <c r="D94" s="58"/>
      <c r="E94" s="178" t="str">
        <f>'Memoria de Calculo'!E88</f>
        <v>PAREDES INTERNAS</v>
      </c>
      <c r="F94" s="58"/>
      <c r="G94" s="58"/>
      <c r="H94" s="171"/>
      <c r="I94" s="171"/>
      <c r="J94" s="172"/>
      <c r="K94" s="130">
        <f t="shared" si="49"/>
        <v>0</v>
      </c>
      <c r="L94" s="210"/>
    </row>
    <row r="95" spans="2:12" ht="45" x14ac:dyDescent="0.25">
      <c r="B95" s="169" t="str">
        <f>'Memoria de Calculo'!B89</f>
        <v>6.1.1</v>
      </c>
      <c r="C95" s="58" t="str">
        <f>'Memoria de Calculo'!C89</f>
        <v>ED-50516</v>
      </c>
      <c r="D95" s="58" t="str">
        <f>'Memoria de Calculo'!D89</f>
        <v>SETOP</v>
      </c>
      <c r="E95" s="170" t="str">
        <f>'Memoria de Calculo'!E89</f>
        <v xml:space="preserve"> PREPARAÇÃO PARA EMASSAMENTO OU PINTURA (LÁTEX/ACRÍLICA) EM PAREDE DE GESSO ACARTONADO (DRY-WALL) E FORRO DE GESSO, INCLUSIVE UMA (1) DEMÃO DE SELADOR ACRÍLICO</v>
      </c>
      <c r="F95" s="180">
        <f>'Memoria de Calculo'!F89</f>
        <v>691.86000000000024</v>
      </c>
      <c r="G95" s="58" t="str">
        <f>'Memoria de Calculo'!G89</f>
        <v>m2</v>
      </c>
      <c r="H95" s="171">
        <v>5.1100000000000003</v>
      </c>
      <c r="I95" s="171">
        <f t="shared" ref="I95" si="69">ROUND(H95*(1+$G$5),2)</f>
        <v>6.36</v>
      </c>
      <c r="J95" s="172">
        <f t="shared" ref="J95" si="70">TRUNC(F95*I95,2)</f>
        <v>4400.22</v>
      </c>
      <c r="K95" s="130">
        <f t="shared" si="49"/>
        <v>3.3845978636886445E-3</v>
      </c>
      <c r="L95" s="210"/>
    </row>
    <row r="96" spans="2:12" ht="33.75" x14ac:dyDescent="0.25">
      <c r="B96" s="169" t="str">
        <f>'Memoria de Calculo'!B90</f>
        <v>6.1.2</v>
      </c>
      <c r="C96" s="58" t="str">
        <f>'Memoria de Calculo'!C90</f>
        <v>ED-50514</v>
      </c>
      <c r="D96" s="58" t="str">
        <f>'Memoria de Calculo'!D90</f>
        <v>SETOP</v>
      </c>
      <c r="E96" s="170" t="str">
        <f>'Memoria de Calculo'!E90</f>
        <v xml:space="preserve"> PREPARAÇÃO PARA EMASSAMENTO OU PINTURA (LÁTEX/ACRÍLICA) EM PAREDE, INCLUSIVE UMA (1) DEMÃO DE SELADORACRÍLICO</v>
      </c>
      <c r="F96" s="180">
        <f>'Memoria de Calculo'!F90</f>
        <v>1474.4430000000002</v>
      </c>
      <c r="G96" s="58" t="str">
        <f>'Memoria de Calculo'!G90</f>
        <v>m2</v>
      </c>
      <c r="H96" s="171">
        <v>5.75</v>
      </c>
      <c r="I96" s="171">
        <f t="shared" ref="I96" si="71">ROUND(H96*(1+$G$5),2)</f>
        <v>7.16</v>
      </c>
      <c r="J96" s="172">
        <f>1474.44*7.16</f>
        <v>10556.990400000001</v>
      </c>
      <c r="K96" s="130">
        <f t="shared" si="49"/>
        <v>8.1203137922243734E-3</v>
      </c>
      <c r="L96" s="210">
        <f>1474.44*7.16</f>
        <v>10556.990400000001</v>
      </c>
    </row>
    <row r="97" spans="2:12" ht="22.5" x14ac:dyDescent="0.25">
      <c r="B97" s="169" t="str">
        <f>'Memoria de Calculo'!B91</f>
        <v>6.1.3</v>
      </c>
      <c r="C97" s="58" t="str">
        <f>'Memoria de Calculo'!C91</f>
        <v>ED-50485</v>
      </c>
      <c r="D97" s="58" t="str">
        <f>'Memoria de Calculo'!D91</f>
        <v>SETOP</v>
      </c>
      <c r="E97" s="170" t="str">
        <f>'Memoria de Calculo'!E91</f>
        <v>EMASSAMENTO EM FORRO DE GESSO COM MASSA ACRÍLICA, UMA (1) DEMÃO, INCLUSIVE LIXAMENTO PARA PINTURA</v>
      </c>
      <c r="F97" s="180">
        <f>'Memoria de Calculo'!F91</f>
        <v>691.86000000000024</v>
      </c>
      <c r="G97" s="58" t="str">
        <f>'Memoria de Calculo'!G91</f>
        <v>m2</v>
      </c>
      <c r="H97" s="171">
        <v>16.03</v>
      </c>
      <c r="I97" s="171">
        <f t="shared" ref="I97" si="72">ROUND(H97*(1+$G$5),2)</f>
        <v>19.96</v>
      </c>
      <c r="J97" s="172">
        <f t="shared" ref="J97" si="73">TRUNC(F97*I97,2)</f>
        <v>13809.52</v>
      </c>
      <c r="K97" s="130">
        <f t="shared" si="49"/>
        <v>1.0622121596321459E-2</v>
      </c>
      <c r="L97" s="210"/>
    </row>
    <row r="98" spans="2:12" ht="22.5" x14ac:dyDescent="0.25">
      <c r="B98" s="169" t="str">
        <f>'Memoria de Calculo'!B92</f>
        <v>6.1.4</v>
      </c>
      <c r="C98" s="58" t="str">
        <f>'Memoria de Calculo'!C92</f>
        <v>ED-50474</v>
      </c>
      <c r="D98" s="58" t="str">
        <f>'Memoria de Calculo'!D92</f>
        <v>SETOP</v>
      </c>
      <c r="E98" s="170" t="str">
        <f>'Memoria de Calculo'!E92</f>
        <v xml:space="preserve"> EMASSAMENTO EM PAREDE COM MASSA ACRÍLICA, DUAS (2) DEMÃOS, INCLUSIVE LIXAMENTO PARA PINTURA</v>
      </c>
      <c r="F98" s="180">
        <f>'Memoria de Calculo'!F92</f>
        <v>1474.4430000000002</v>
      </c>
      <c r="G98" s="58" t="str">
        <f>'Memoria de Calculo'!G92</f>
        <v>m2</v>
      </c>
      <c r="H98" s="171">
        <v>19</v>
      </c>
      <c r="I98" s="171">
        <f t="shared" ref="I98" si="74">ROUND(H98*(1+$G$5),2)</f>
        <v>23.66</v>
      </c>
      <c r="J98" s="172">
        <f>1474.44*23.66</f>
        <v>34885.250400000004</v>
      </c>
      <c r="K98" s="130">
        <f t="shared" si="49"/>
        <v>2.6833327419557077E-2</v>
      </c>
      <c r="L98" s="210">
        <f>1474.44*23.66</f>
        <v>34885.250400000004</v>
      </c>
    </row>
    <row r="99" spans="2:12" ht="45" x14ac:dyDescent="0.25">
      <c r="B99" s="169" t="str">
        <f>'Memoria de Calculo'!B93</f>
        <v>6.1.5</v>
      </c>
      <c r="C99" s="58" t="str">
        <f>'Memoria de Calculo'!C93</f>
        <v>ED-50451</v>
      </c>
      <c r="D99" s="58" t="str">
        <f>'Memoria de Calculo'!D93</f>
        <v>SETOP</v>
      </c>
      <c r="E99" s="170" t="str">
        <f>'Memoria de Calculo'!E93</f>
        <v xml:space="preserve"> PINTURA ACRÍLICA EM PAREDE, DUAS (2) DEMÃOS, EXCLUSIVE SELADOR ACRÍLICO E MASSA ACRÍLICA /CORRIDA (PVA)
m2 13,99</v>
      </c>
      <c r="F99" s="180">
        <f>'Memoria de Calculo'!F93</f>
        <v>1474.4430000000002</v>
      </c>
      <c r="G99" s="58" t="str">
        <f>'Memoria de Calculo'!G93</f>
        <v>m2</v>
      </c>
      <c r="H99" s="171">
        <v>13.99</v>
      </c>
      <c r="I99" s="171">
        <f t="shared" ref="I99:I100" si="75">ROUND(H99*(1+$G$5),2)</f>
        <v>17.420000000000002</v>
      </c>
      <c r="J99" s="172">
        <f>1474.44*17.42</f>
        <v>25684.744800000004</v>
      </c>
      <c r="K99" s="130">
        <f t="shared" si="49"/>
        <v>1.9756405902311255E-2</v>
      </c>
      <c r="L99" s="210">
        <f>1474.44*17.42</f>
        <v>25684.744800000004</v>
      </c>
    </row>
    <row r="100" spans="2:12" ht="33.75" x14ac:dyDescent="0.25">
      <c r="B100" s="169" t="str">
        <f>'Memoria de Calculo'!B94</f>
        <v>6.1.6</v>
      </c>
      <c r="C100" s="58" t="str">
        <f>'Memoria de Calculo'!C94</f>
        <v xml:space="preserve">ED-50452 </v>
      </c>
      <c r="D100" s="58" t="str">
        <f>'Memoria de Calculo'!D94</f>
        <v>SETOP</v>
      </c>
      <c r="E100" s="170" t="str">
        <f>'Memoria de Calculo'!E94</f>
        <v>PINTURA ACRÍLICA EM TETO, DUAS (2) DEMÃOS, EXCLUSIVE SELADOR ACRÍLICO E MASSA ACRÍLICA/CORRIDA (PVA)
m2 15,47</v>
      </c>
      <c r="F100" s="180">
        <f>'Memoria de Calculo'!F94</f>
        <v>691.86000000000024</v>
      </c>
      <c r="G100" s="58" t="str">
        <f>'Memoria de Calculo'!G94</f>
        <v>m2</v>
      </c>
      <c r="H100" s="171">
        <v>15.47</v>
      </c>
      <c r="I100" s="171">
        <f t="shared" si="75"/>
        <v>19.260000000000002</v>
      </c>
      <c r="J100" s="172">
        <f t="shared" ref="J100" si="76">TRUNC(F100*I100,2)</f>
        <v>13325.22</v>
      </c>
      <c r="K100" s="130">
        <f t="shared" si="49"/>
        <v>1.0249603689174904E-2</v>
      </c>
      <c r="L100" s="210"/>
    </row>
    <row r="101" spans="2:12" ht="33.75" x14ac:dyDescent="0.25">
      <c r="B101" s="169" t="str">
        <f>'Memoria de Calculo'!B95</f>
        <v>6.1.7</v>
      </c>
      <c r="C101" s="58">
        <f>'Memoria de Calculo'!C95</f>
        <v>102214</v>
      </c>
      <c r="D101" s="58" t="str">
        <f>'Memoria de Calculo'!D95</f>
        <v>SINAPI</v>
      </c>
      <c r="E101" s="170" t="str">
        <f>'Memoria de Calculo'!E95</f>
        <v>PINTURA VERNIZ (INCOLOR) ALQUÍDICO EM MADEIRA, USO INTERNO, 2 DEMÃOS. M2 CR 18,31
AF_01/2021</v>
      </c>
      <c r="F101" s="180">
        <f>'Memoria de Calculo'!F95</f>
        <v>98.700000000000017</v>
      </c>
      <c r="G101" s="58" t="str">
        <f>'Memoria de Calculo'!G95</f>
        <v>m2</v>
      </c>
      <c r="H101" s="171">
        <v>18.309999999999999</v>
      </c>
      <c r="I101" s="171">
        <f t="shared" ref="I101" si="77">ROUND(H101*(1+$G$5),2)</f>
        <v>22.8</v>
      </c>
      <c r="J101" s="172">
        <f t="shared" ref="J101" si="78">TRUNC(F101*I101,2)</f>
        <v>2250.36</v>
      </c>
      <c r="K101" s="130">
        <f t="shared" si="49"/>
        <v>1.7309506453155475E-3</v>
      </c>
      <c r="L101" s="210"/>
    </row>
    <row r="102" spans="2:12" x14ac:dyDescent="0.25">
      <c r="B102" s="169"/>
      <c r="C102" s="58"/>
      <c r="D102" s="58"/>
      <c r="E102" s="174" t="s">
        <v>72</v>
      </c>
      <c r="F102" s="58"/>
      <c r="G102" s="58"/>
      <c r="H102" s="171"/>
      <c r="I102" s="171"/>
      <c r="J102" s="175">
        <f>TRUNC(SUM(J95:J101),2)</f>
        <v>104912.3</v>
      </c>
      <c r="K102" s="130">
        <f t="shared" si="49"/>
        <v>8.0697316601138616E-2</v>
      </c>
      <c r="L102" s="210"/>
    </row>
    <row r="103" spans="2:12" x14ac:dyDescent="0.25">
      <c r="B103" s="169"/>
      <c r="C103" s="58"/>
      <c r="D103" s="58"/>
      <c r="E103" s="174"/>
      <c r="F103" s="58"/>
      <c r="G103" s="58"/>
      <c r="H103" s="171"/>
      <c r="I103" s="171"/>
      <c r="J103" s="182"/>
      <c r="K103" s="130">
        <f t="shared" si="49"/>
        <v>0</v>
      </c>
      <c r="L103" s="210"/>
    </row>
    <row r="104" spans="2:12" x14ac:dyDescent="0.25">
      <c r="B104" s="177" t="str">
        <f>'Memoria de Calculo'!B97</f>
        <v>6.2</v>
      </c>
      <c r="C104" s="188"/>
      <c r="D104" s="188"/>
      <c r="E104" s="178" t="str">
        <f>'Memoria de Calculo'!E97</f>
        <v>PAREDES EXTERNA</v>
      </c>
      <c r="F104" s="180"/>
      <c r="G104" s="58"/>
      <c r="H104" s="171"/>
      <c r="I104" s="171"/>
      <c r="J104" s="172"/>
      <c r="K104" s="130">
        <f t="shared" si="49"/>
        <v>0</v>
      </c>
      <c r="L104" s="210"/>
    </row>
    <row r="105" spans="2:12" ht="33.75" x14ac:dyDescent="0.25">
      <c r="B105" s="169" t="str">
        <f>'Memoria de Calculo'!B98</f>
        <v>6.2.1</v>
      </c>
      <c r="C105" s="58" t="str">
        <f>'Memoria de Calculo'!C98</f>
        <v>ED-50514</v>
      </c>
      <c r="D105" s="58" t="str">
        <f>'Memoria de Calculo'!D98</f>
        <v>SETOP</v>
      </c>
      <c r="E105" s="170" t="str">
        <f>'Memoria de Calculo'!E98</f>
        <v>PREPARAÇÃO PARA EMASSAMENTO OU PINTURA (LÁTEX/ACRÍLICA) EM PAREDE, INCLUSIVE UMA (1) DEMÃO DE SELADORACRÍLICO</v>
      </c>
      <c r="F105" s="180">
        <f>'Memoria de Calculo'!F98</f>
        <v>825.79500000000007</v>
      </c>
      <c r="G105" s="58" t="str">
        <f>'Memoria de Calculo'!G98</f>
        <v>m2</v>
      </c>
      <c r="H105" s="171">
        <v>5.75</v>
      </c>
      <c r="I105" s="171">
        <f t="shared" ref="I105:I106" si="79">ROUND(H105*(1+$G$5),2)</f>
        <v>7.16</v>
      </c>
      <c r="J105" s="172">
        <f>825.8*7.16</f>
        <v>5912.7280000000001</v>
      </c>
      <c r="K105" s="130">
        <f t="shared" si="49"/>
        <v>4.5480013629709496E-3</v>
      </c>
      <c r="L105" s="210">
        <f>825.8*7.16</f>
        <v>5912.7280000000001</v>
      </c>
    </row>
    <row r="106" spans="2:12" ht="33.75" x14ac:dyDescent="0.25">
      <c r="B106" s="169" t="str">
        <f>'Memoria de Calculo'!B99</f>
        <v>6.2.2</v>
      </c>
      <c r="C106" s="58" t="str">
        <f>'Memoria de Calculo'!C99</f>
        <v>ED-50451</v>
      </c>
      <c r="D106" s="58" t="str">
        <f>'Memoria de Calculo'!D99</f>
        <v>SETOP</v>
      </c>
      <c r="E106" s="170" t="str">
        <f>'Memoria de Calculo'!E99</f>
        <v>PINTURA ACRÍLICA EM PAREDE, DUAS (2) DEMÃOS, EXCLUSIVE SELADOR ACRÍLICO E MASSA ACRÍLICA/ CORRIDA (PVA)</v>
      </c>
      <c r="F106" s="180">
        <f>'Memoria de Calculo'!F99</f>
        <v>825.79500000000007</v>
      </c>
      <c r="G106" s="58" t="str">
        <f>'Memoria de Calculo'!G98</f>
        <v>m2</v>
      </c>
      <c r="H106" s="171">
        <v>13.99</v>
      </c>
      <c r="I106" s="171">
        <f t="shared" si="79"/>
        <v>17.420000000000002</v>
      </c>
      <c r="J106" s="172">
        <f t="shared" ref="J106" si="80">TRUNC(F106*I106,2)</f>
        <v>14385.34</v>
      </c>
      <c r="K106" s="130">
        <f t="shared" si="49"/>
        <v>1.1065035619226948E-2</v>
      </c>
      <c r="L106" s="210"/>
    </row>
    <row r="107" spans="2:12" ht="33.75" x14ac:dyDescent="0.25">
      <c r="B107" s="169" t="str">
        <f>'Memoria de Calculo'!B100</f>
        <v>6.2.3</v>
      </c>
      <c r="C107" s="58" t="str">
        <f>'Memoria de Calculo'!C100</f>
        <v>ED-50491</v>
      </c>
      <c r="D107" s="58" t="str">
        <f>'Memoria de Calculo'!D100</f>
        <v>SETOP</v>
      </c>
      <c r="E107" s="170" t="str">
        <f>'Memoria de Calculo'!E100</f>
        <v>PINTURA ESMALTE EM ESQUADRIAS DE FERRO, DUAS (2)DEMÃOS, INCLUSIVE UMA (1) DEMÃO DE FUNDO ANTICORROSIVO</v>
      </c>
      <c r="F107" s="180">
        <f>'Memoria de Calculo'!F100</f>
        <v>31.680000000000003</v>
      </c>
      <c r="G107" s="58" t="str">
        <f>'Memoria de Calculo'!G99</f>
        <v>m2</v>
      </c>
      <c r="H107" s="171">
        <v>31.65</v>
      </c>
      <c r="I107" s="171">
        <f t="shared" ref="I107" si="81">ROUND(H107*(1+$G$5),2)</f>
        <v>39.409999999999997</v>
      </c>
      <c r="J107" s="172">
        <f t="shared" ref="J107" si="82">TRUNC(F107*I107,2)</f>
        <v>1248.5</v>
      </c>
      <c r="K107" s="130">
        <f t="shared" si="49"/>
        <v>9.6033162724029077E-4</v>
      </c>
      <c r="L107" s="210"/>
    </row>
    <row r="108" spans="2:12" ht="12.95" customHeight="1" x14ac:dyDescent="0.25">
      <c r="B108" s="2"/>
      <c r="C108" s="1"/>
      <c r="D108" s="7"/>
      <c r="E108" s="120" t="s">
        <v>72</v>
      </c>
      <c r="F108" s="7"/>
      <c r="G108" s="7"/>
      <c r="H108" s="9"/>
      <c r="I108" s="9"/>
      <c r="J108" s="121">
        <f>TRUNC(SUM(J105:J107),2)</f>
        <v>21546.560000000001</v>
      </c>
      <c r="K108" s="130">
        <f t="shared" si="49"/>
        <v>1.6573362455931568E-2</v>
      </c>
      <c r="L108" s="210"/>
    </row>
    <row r="109" spans="2:12" ht="12.95" customHeight="1" x14ac:dyDescent="0.25">
      <c r="B109" s="2"/>
      <c r="C109" s="1"/>
      <c r="D109" s="7"/>
      <c r="E109" s="120" t="s">
        <v>407</v>
      </c>
      <c r="F109" s="7"/>
      <c r="G109" s="7"/>
      <c r="H109" s="9"/>
      <c r="I109" s="9"/>
      <c r="J109" s="121">
        <f>TRUNC(J108+J102,2)</f>
        <v>126458.86</v>
      </c>
      <c r="K109" s="130">
        <f t="shared" si="49"/>
        <v>9.7270679057070181E-2</v>
      </c>
      <c r="L109" s="210"/>
    </row>
    <row r="110" spans="2:12" ht="12.95" customHeight="1" x14ac:dyDescent="0.25">
      <c r="B110" s="2"/>
      <c r="C110" s="1"/>
      <c r="D110" s="7"/>
      <c r="E110" s="120"/>
      <c r="F110" s="7"/>
      <c r="G110" s="7"/>
      <c r="H110" s="9"/>
      <c r="I110" s="9"/>
      <c r="J110" s="122"/>
      <c r="K110" s="130">
        <f t="shared" si="49"/>
        <v>0</v>
      </c>
      <c r="L110" s="210"/>
    </row>
    <row r="111" spans="2:12" s="133" customFormat="1" ht="12.95" customHeight="1" x14ac:dyDescent="0.25">
      <c r="B111" s="177">
        <f>'Memoria de Calculo'!B102</f>
        <v>7</v>
      </c>
      <c r="C111" s="134"/>
      <c r="D111" s="136"/>
      <c r="E111" s="178" t="str">
        <f>'Memoria de Calculo'!E102</f>
        <v>LOUÇAS, METAIS E ACESSORIOS</v>
      </c>
      <c r="F111" s="136"/>
      <c r="G111" s="136"/>
      <c r="H111" s="156"/>
      <c r="I111" s="156"/>
      <c r="J111" s="179"/>
      <c r="K111" s="130">
        <f t="shared" si="49"/>
        <v>0</v>
      </c>
      <c r="L111" s="211"/>
    </row>
    <row r="112" spans="2:12" ht="12.95" customHeight="1" x14ac:dyDescent="0.25">
      <c r="B112" s="2"/>
      <c r="C112" s="1"/>
      <c r="D112" s="7"/>
      <c r="E112" s="178"/>
      <c r="F112" s="7"/>
      <c r="G112" s="7"/>
      <c r="H112" s="9"/>
      <c r="I112" s="9"/>
      <c r="J112" s="122"/>
      <c r="K112" s="130">
        <f t="shared" si="49"/>
        <v>0</v>
      </c>
      <c r="L112" s="210"/>
    </row>
    <row r="113" spans="2:12" x14ac:dyDescent="0.25">
      <c r="B113" s="169" t="str">
        <f>'Memoria de Calculo'!B104</f>
        <v>7.1</v>
      </c>
      <c r="C113" s="58" t="str">
        <f>'Memoria de Calculo'!C104</f>
        <v>ED-48156</v>
      </c>
      <c r="D113" s="58" t="str">
        <f>'Memoria de Calculo'!D104</f>
        <v>SETOP</v>
      </c>
      <c r="E113" s="170" t="str">
        <f>'Memoria de Calculo'!E104</f>
        <v>ASSENTO PARA VASO PNE (NBR 9050)</v>
      </c>
      <c r="F113" s="180">
        <f>'Memoria de Calculo'!F104</f>
        <v>2</v>
      </c>
      <c r="G113" s="58" t="str">
        <f>'Memoria de Calculo'!G104</f>
        <v>unid.</v>
      </c>
      <c r="H113" s="171">
        <v>42.77</v>
      </c>
      <c r="I113" s="171">
        <f t="shared" ref="I113:I114" si="83">ROUND(H113*(1+$G$5),2)</f>
        <v>53.26</v>
      </c>
      <c r="J113" s="172">
        <f t="shared" ref="J113:J114" si="84">TRUNC(F113*I113,2)</f>
        <v>106.52</v>
      </c>
      <c r="K113" s="130">
        <f t="shared" si="49"/>
        <v>8.1933940675719478E-5</v>
      </c>
      <c r="L113" s="210"/>
    </row>
    <row r="114" spans="2:12" x14ac:dyDescent="0.25">
      <c r="B114" s="169" t="str">
        <f>'Memoria de Calculo'!B105</f>
        <v>7.2</v>
      </c>
      <c r="C114" s="58" t="str">
        <f>'Memoria de Calculo'!C105</f>
        <v xml:space="preserve">ED-48157 </v>
      </c>
      <c r="D114" s="58" t="str">
        <f>'Memoria de Calculo'!D105</f>
        <v>SETOP</v>
      </c>
      <c r="E114" s="170" t="str">
        <f>'Memoria de Calculo'!E105</f>
        <v xml:space="preserve">ASSENTO BRANCO PARA VASO </v>
      </c>
      <c r="F114" s="180">
        <f>'Memoria de Calculo'!F105</f>
        <v>11</v>
      </c>
      <c r="G114" s="58" t="str">
        <f>'Memoria de Calculo'!G105</f>
        <v>unid.</v>
      </c>
      <c r="H114" s="171">
        <v>125.4</v>
      </c>
      <c r="I114" s="171">
        <f t="shared" si="83"/>
        <v>156.16</v>
      </c>
      <c r="J114" s="172">
        <f t="shared" si="84"/>
        <v>1717.76</v>
      </c>
      <c r="K114" s="130">
        <f t="shared" si="49"/>
        <v>1.3212809419369499E-3</v>
      </c>
      <c r="L114" s="210"/>
    </row>
    <row r="115" spans="2:12" ht="22.5" x14ac:dyDescent="0.25">
      <c r="B115" s="169" t="str">
        <f>'Memoria de Calculo'!B106</f>
        <v>7.3</v>
      </c>
      <c r="C115" s="58"/>
      <c r="D115" s="58"/>
      <c r="E115" s="170" t="str">
        <f>'Memoria de Calculo'!E106</f>
        <v>BANCADA EM GRANITO MARTA ROCHA E = 3 CM, APOIADA EM CONSOLE DE METALON 20 X 30 MM</v>
      </c>
      <c r="F115" s="180">
        <f>'Memoria de Calculo'!F106</f>
        <v>6.3250000000000002</v>
      </c>
      <c r="G115" s="58" t="str">
        <f>'Memoria de Calculo'!G106</f>
        <v>M2</v>
      </c>
      <c r="H115" s="171">
        <f>Composição!F19</f>
        <v>534.52667999999994</v>
      </c>
      <c r="I115" s="171">
        <f t="shared" ref="I115" si="85">ROUND(H115*(1+$G$5),2)</f>
        <v>665.65</v>
      </c>
      <c r="J115" s="172">
        <f>6.33*665.65</f>
        <v>4213.5644999999995</v>
      </c>
      <c r="K115" s="130">
        <f t="shared" si="49"/>
        <v>3.2410246317716635E-3</v>
      </c>
      <c r="L115" s="210">
        <f>6.33*665.65</f>
        <v>4213.5644999999995</v>
      </c>
    </row>
    <row r="116" spans="2:12" ht="22.5" x14ac:dyDescent="0.25">
      <c r="B116" s="169" t="str">
        <f>'Memoria de Calculo'!B107</f>
        <v>7.4</v>
      </c>
      <c r="C116" s="58"/>
      <c r="D116" s="58"/>
      <c r="E116" s="170" t="str">
        <f>'Memoria de Calculo'!E107</f>
        <v>RODABANCADA EM GRANITO MARTA ROCHA H = 10 CM, E = 2 CM</v>
      </c>
      <c r="F116" s="180">
        <f>'Memoria de Calculo'!F107</f>
        <v>16.099999999999998</v>
      </c>
      <c r="G116" s="58" t="str">
        <f>'Memoria de Calculo'!G107</f>
        <v>m</v>
      </c>
      <c r="H116" s="171">
        <v>61.17</v>
      </c>
      <c r="I116" s="171">
        <f t="shared" ref="I116" si="86">ROUND(H116*(1+$G$5),2)</f>
        <v>76.180000000000007</v>
      </c>
      <c r="J116" s="172">
        <f t="shared" ref="J116" si="87">TRUNC(F116*I116,2)</f>
        <v>1226.49</v>
      </c>
      <c r="K116" s="130">
        <f t="shared" si="49"/>
        <v>9.4340179214573027E-4</v>
      </c>
      <c r="L116" s="210"/>
    </row>
    <row r="117" spans="2:12" ht="45" x14ac:dyDescent="0.25">
      <c r="B117" s="169" t="str">
        <f>'Memoria de Calculo'!B108</f>
        <v>7.5</v>
      </c>
      <c r="C117" s="58"/>
      <c r="D117" s="58"/>
      <c r="E117" s="170" t="str">
        <f>'Memoria de Calculo'!E108</f>
        <v>TESTEIRA PARA BANCADA EM GRANITO,  MARTA ROCHA, ESP. 2CM, ALTURA DE 10CM, INCLUSIVE POLIMENTO, CORTE/COLAGEM EM MEIA ESQUADRIA E MASSA PLÁSTICA NA COR DA PEDRA</v>
      </c>
      <c r="F117" s="180">
        <f>'Memoria de Calculo'!F108</f>
        <v>15.899999999999999</v>
      </c>
      <c r="G117" s="58" t="str">
        <f>'Memoria de Calculo'!G108</f>
        <v>m</v>
      </c>
      <c r="H117" s="171">
        <v>184.81</v>
      </c>
      <c r="I117" s="171">
        <f t="shared" ref="I117" si="88">ROUND(H117*(1+$G$5),2)</f>
        <v>230.14</v>
      </c>
      <c r="J117" s="172">
        <f t="shared" ref="J117" si="89">TRUNC(F117*I117,2)</f>
        <v>3659.22</v>
      </c>
      <c r="K117" s="130">
        <f t="shared" si="49"/>
        <v>2.8146293127995327E-3</v>
      </c>
      <c r="L117" s="210"/>
    </row>
    <row r="118" spans="2:12" ht="22.5" x14ac:dyDescent="0.25">
      <c r="B118" s="169" t="str">
        <f>'Memoria de Calculo'!B109</f>
        <v>7.6</v>
      </c>
      <c r="C118" s="58" t="str">
        <f>'Memoria de Calculo'!C109</f>
        <v>ED-48342</v>
      </c>
      <c r="D118" s="58" t="str">
        <f>'Memoria de Calculo'!D109</f>
        <v>SETOP</v>
      </c>
      <c r="E118" s="170" t="str">
        <f>'Memoria de Calculo'!E109</f>
        <v>FURO DE BOJO EM BANCADA DE GRANITO/MÁRMORE, INCLUSIVE COLAGEM COM MASSA PLÁSTICA</v>
      </c>
      <c r="F118" s="180">
        <f>'Memoria de Calculo'!F109</f>
        <v>2</v>
      </c>
      <c r="G118" s="58" t="str">
        <f>'Memoria de Calculo'!G109</f>
        <v>und.</v>
      </c>
      <c r="H118" s="171">
        <v>108.08</v>
      </c>
      <c r="I118" s="171">
        <f t="shared" ref="I118" si="90">ROUND(H118*(1+$G$5),2)</f>
        <v>134.59</v>
      </c>
      <c r="J118" s="172">
        <f t="shared" ref="J118" si="91">TRUNC(F118*I118,2)</f>
        <v>269.18</v>
      </c>
      <c r="K118" s="130">
        <f t="shared" si="49"/>
        <v>2.0705011407332117E-4</v>
      </c>
      <c r="L118" s="210"/>
    </row>
    <row r="119" spans="2:12" ht="67.5" x14ac:dyDescent="0.25">
      <c r="B119" s="169" t="str">
        <f>'Memoria de Calculo'!B110</f>
        <v>7.7</v>
      </c>
      <c r="C119" s="58" t="str">
        <f>'Memoria de Calculo'!C110</f>
        <v>ED-50278</v>
      </c>
      <c r="D119" s="58" t="str">
        <f>'Memoria de Calculo'!D110</f>
        <v>SETOP</v>
      </c>
      <c r="E119" s="170" t="str">
        <f>'Memoria de Calculo'!E110</f>
        <v xml:space="preserve">CUBA EM AÇO INOXIDÁVEL DE EMBUTIR, AISI 304, APLICAÇÃO PARA PIA (560X330X115MM), NÚMERO 2, ASSENTAMENTO EM BANCADA, INCLUSIVE VÁLVULA DE ESCOAMENTO DE METAL COM ACABAMENTO CROMADO, SIFÃO DE METAL TIPO COPO COM ACABAMENTO CROMADO, FORNECIMENTO E INSTALAÇÃO </v>
      </c>
      <c r="F119" s="180">
        <f>'Memoria de Calculo'!F110</f>
        <v>1</v>
      </c>
      <c r="G119" s="58" t="str">
        <f>'Memoria de Calculo'!G110</f>
        <v>unid.</v>
      </c>
      <c r="H119" s="171">
        <v>379.18</v>
      </c>
      <c r="I119" s="171">
        <f t="shared" ref="I119" si="92">ROUND(H119*(1+$G$5),2)</f>
        <v>472.19</v>
      </c>
      <c r="J119" s="172">
        <f t="shared" ref="J119" si="93">TRUNC(F119*I119,2)</f>
        <v>472.19</v>
      </c>
      <c r="K119" s="130">
        <f t="shared" si="49"/>
        <v>3.6320303649707081E-4</v>
      </c>
      <c r="L119" s="210"/>
    </row>
    <row r="120" spans="2:12" ht="45" x14ac:dyDescent="0.25">
      <c r="B120" s="169" t="str">
        <f>'Memoria de Calculo'!B111</f>
        <v>7.8</v>
      </c>
      <c r="C120" s="58" t="str">
        <f>'Memoria de Calculo'!C111</f>
        <v>ED-50280</v>
      </c>
      <c r="D120" s="58" t="str">
        <f>'Memoria de Calculo'!D111</f>
        <v>SETOP</v>
      </c>
      <c r="E120" s="170" t="str">
        <f>'Memoria de Calculo'!E111</f>
        <v>CUBA DE LOUÇA BRANCA DE SOBREPOR, FORMATO OVAL, INCLUSIVE VÁLVULA DE ESCOAMENTO DE METAL COM ACABAMENTO CROMADO, SIFÃO DE METAL TIPO COPO COM ACABAMENTO CROMADO, FORNECIMENTO E INSTALAÇÃO</v>
      </c>
      <c r="F120" s="180">
        <f>'Memoria de Calculo'!F111</f>
        <v>9</v>
      </c>
      <c r="G120" s="58" t="str">
        <f>'Memoria de Calculo'!G111</f>
        <v>unid.</v>
      </c>
      <c r="H120" s="171">
        <v>369.63</v>
      </c>
      <c r="I120" s="171">
        <f t="shared" ref="I120" si="94">ROUND(H120*(1+$G$5),2)</f>
        <v>460.3</v>
      </c>
      <c r="J120" s="172">
        <f t="shared" ref="J120" si="95">TRUNC(F120*I120,2)</f>
        <v>4142.7</v>
      </c>
      <c r="K120" s="130">
        <f t="shared" si="49"/>
        <v>3.1865164855173029E-3</v>
      </c>
      <c r="L120" s="210"/>
    </row>
    <row r="121" spans="2:12" ht="45" x14ac:dyDescent="0.25">
      <c r="B121" s="169" t="str">
        <f>'Memoria de Calculo'!B112</f>
        <v>7.9</v>
      </c>
      <c r="C121" s="58" t="str">
        <f>'Memoria de Calculo'!C112</f>
        <v xml:space="preserve">ED-50324 </v>
      </c>
      <c r="D121" s="58" t="str">
        <f>'Memoria de Calculo'!D112</f>
        <v>SETOP</v>
      </c>
      <c r="E121" s="170" t="str">
        <f>'Memoria de Calculo'!E112</f>
        <v xml:space="preserve">TORNEIRA METÁLICA PARA PIA, BICA MÓVEL, ABERTURA 1/4 DE VOLTA, ACABAMENTO CROMADO, COM AREJADOR, APLICAÇÃO DE MESA, INCLUSIVE ENGATE FLEXÍVEL METÁLICO, FORNECIMENTO E INSTALAÇÃO </v>
      </c>
      <c r="F121" s="180">
        <f>'Memoria de Calculo'!F112</f>
        <v>1</v>
      </c>
      <c r="G121" s="58" t="str">
        <f>'Memoria de Calculo'!G112</f>
        <v>unid.</v>
      </c>
      <c r="H121" s="171">
        <v>148.26</v>
      </c>
      <c r="I121" s="171">
        <f t="shared" ref="I121" si="96">ROUND(H121*(1+$G$5),2)</f>
        <v>184.63</v>
      </c>
      <c r="J121" s="172">
        <f t="shared" ref="J121" si="97">TRUNC(F121*I121,2)</f>
        <v>184.63</v>
      </c>
      <c r="K121" s="130">
        <f t="shared" si="49"/>
        <v>1.4201524095905078E-4</v>
      </c>
      <c r="L121" s="210"/>
    </row>
    <row r="122" spans="2:12" ht="33.75" x14ac:dyDescent="0.25">
      <c r="B122" s="169" t="str">
        <f>'Memoria de Calculo'!B113</f>
        <v>7.10</v>
      </c>
      <c r="C122" s="58">
        <f>'Memoria de Calculo'!C113</f>
        <v>100853</v>
      </c>
      <c r="D122" s="58" t="str">
        <f>'Memoria de Calculo'!D113</f>
        <v>SINAPI</v>
      </c>
      <c r="E122" s="190" t="str">
        <f>'Memoria de Calculo'!E113</f>
        <v xml:space="preserve">TORNEIRA CROMADA DE MESA PARA LAVATORIO, TIPO MONOCOMANDO. AF_01/2020
</v>
      </c>
      <c r="F122" s="180">
        <f>'Memoria de Calculo'!F113</f>
        <v>9</v>
      </c>
      <c r="G122" s="58" t="str">
        <f>'Memoria de Calculo'!G113</f>
        <v>unid.</v>
      </c>
      <c r="H122" s="171">
        <v>269.42</v>
      </c>
      <c r="I122" s="171">
        <f t="shared" ref="I122" si="98">ROUND(H122*(1+$G$5),2)</f>
        <v>335.51</v>
      </c>
      <c r="J122" s="172">
        <f t="shared" ref="J122" si="99">TRUNC(F122*I122,2)</f>
        <v>3019.59</v>
      </c>
      <c r="K122" s="130">
        <f t="shared" si="49"/>
        <v>2.3226333826980457E-3</v>
      </c>
      <c r="L122" s="210"/>
    </row>
    <row r="123" spans="2:12" ht="45" x14ac:dyDescent="0.25">
      <c r="B123" s="169" t="str">
        <f>'Memoria de Calculo'!B114</f>
        <v>7.11</v>
      </c>
      <c r="C123" s="58" t="str">
        <f>'Memoria de Calculo'!C114</f>
        <v>ED-48160</v>
      </c>
      <c r="D123" s="58" t="str">
        <f>'Memoria de Calculo'!D114</f>
        <v>SETOP</v>
      </c>
      <c r="E123" s="190" t="str">
        <f>'Memoria de Calculo'!E114</f>
        <v xml:space="preserve"> BARRA DE APOIO EM AÇO INOX POLIDO RETA, DN 1.1/4" (31,75MM) , PARA ACESSIBILIDADE (PMR/PCR), COMPRIMENTO 80CM, INSTALADO EM PAREDE, INCLUSIVE FORNECIMENTO, INSTALAÇÃO E ACESSÓRIOS PARA FIXAÇÃO un 194,88</v>
      </c>
      <c r="F123" s="180">
        <f>'Memoria de Calculo'!F114</f>
        <v>2</v>
      </c>
      <c r="G123" s="58" t="str">
        <f>'Memoria de Calculo'!G114</f>
        <v>unid.</v>
      </c>
      <c r="H123" s="171">
        <v>194.88</v>
      </c>
      <c r="I123" s="171">
        <f t="shared" ref="I123" si="100">ROUND(H123*(1+$G$5),2)</f>
        <v>242.68</v>
      </c>
      <c r="J123" s="172">
        <f t="shared" ref="J123" si="101">TRUNC(F123*I123,2)</f>
        <v>485.36</v>
      </c>
      <c r="K123" s="130">
        <f t="shared" si="49"/>
        <v>3.7333324677400688E-4</v>
      </c>
      <c r="L123" s="210"/>
    </row>
    <row r="124" spans="2:12" ht="45" x14ac:dyDescent="0.25">
      <c r="B124" s="169" t="str">
        <f>'Memoria de Calculo'!B115</f>
        <v>7.12</v>
      </c>
      <c r="C124" s="58" t="str">
        <f>'Memoria de Calculo'!C115</f>
        <v>ED-48162</v>
      </c>
      <c r="D124" s="58" t="str">
        <f>'Memoria de Calculo'!D115</f>
        <v>SETOP</v>
      </c>
      <c r="E124" s="190" t="str">
        <f>'Memoria de Calculo'!E115</f>
        <v xml:space="preserve"> BARRA DE APOIO EM AÇO INOX POLIDO RETA, DN 1.1/4" (31,75MM) , PARA ACESSIBILIDADE (PMR/PCR), COMPRIMENTO 90CM, INSTALADO EM PAREDE, INCLUSIVE FORNECIMENTO, INSTALAÇÃO E ACESSÓRIOS PARA FIXAÇÃO un 227,88</v>
      </c>
      <c r="F124" s="180">
        <f>'Memoria de Calculo'!F115</f>
        <v>2</v>
      </c>
      <c r="G124" s="58" t="str">
        <f>'Memoria de Calculo'!G115</f>
        <v>unid.</v>
      </c>
      <c r="H124" s="171">
        <v>227.88</v>
      </c>
      <c r="I124" s="171">
        <f t="shared" ref="I124" si="102">ROUND(H124*(1+$G$5),2)</f>
        <v>283.77999999999997</v>
      </c>
      <c r="J124" s="172">
        <f t="shared" ref="J124" si="103">TRUNC(F124*I124,2)</f>
        <v>567.55999999999995</v>
      </c>
      <c r="K124" s="130">
        <f t="shared" si="49"/>
        <v>4.3656052731798112E-4</v>
      </c>
      <c r="L124" s="210"/>
    </row>
    <row r="125" spans="2:12" ht="33.75" x14ac:dyDescent="0.25">
      <c r="B125" s="169" t="str">
        <f>'Memoria de Calculo'!B116</f>
        <v>7.13</v>
      </c>
      <c r="C125" s="58" t="str">
        <f>'Memoria de Calculo'!C116</f>
        <v xml:space="preserve">ED-50316 </v>
      </c>
      <c r="D125" s="58" t="str">
        <f>'Memoria de Calculo'!D116</f>
        <v>SETOP</v>
      </c>
      <c r="E125" s="190" t="str">
        <f>'Memoria de Calculo'!E116</f>
        <v>DUCHA HIGIÊNICA COM REGISTRO PARA CONTROLE DE FLUXODE ÁGUA, DIÂMETRO 1/2" (20MM), INCLUSIVE FORNECIMENTO E INSTALAÇÃO</v>
      </c>
      <c r="F125" s="180">
        <f>'Memoria de Calculo'!F116</f>
        <v>2</v>
      </c>
      <c r="G125" s="58" t="str">
        <f>'Memoria de Calculo'!G116</f>
        <v>unid.</v>
      </c>
      <c r="H125" s="171">
        <v>228.88</v>
      </c>
      <c r="I125" s="171">
        <f t="shared" ref="I125:I129" si="104">ROUND(H125*(1+$G$5),2)</f>
        <v>285.02</v>
      </c>
      <c r="J125" s="172">
        <f t="shared" ref="J125:J129" si="105">TRUNC(F125*I125,2)</f>
        <v>570.04</v>
      </c>
      <c r="K125" s="130">
        <f t="shared" si="49"/>
        <v>4.3846811437088935E-4</v>
      </c>
      <c r="L125" s="210"/>
    </row>
    <row r="126" spans="2:12" x14ac:dyDescent="0.25">
      <c r="B126" s="169" t="str">
        <f>'Memoria de Calculo'!B117</f>
        <v>7.14</v>
      </c>
      <c r="C126" s="58" t="str">
        <f>'Memoria de Calculo'!C117</f>
        <v>ED-48181</v>
      </c>
      <c r="D126" s="58" t="str">
        <f>'Memoria de Calculo'!D117</f>
        <v>SETOP</v>
      </c>
      <c r="E126" s="190" t="str">
        <f>'Memoria de Calculo'!E117</f>
        <v xml:space="preserve"> PAPELEIRA METÁLICA CROMADA, INCLUSIVE FIXAÇÃO</v>
      </c>
      <c r="F126" s="180">
        <f>'Memoria de Calculo'!F117</f>
        <v>13</v>
      </c>
      <c r="G126" s="58" t="str">
        <f>'Memoria de Calculo'!G117</f>
        <v>unid.</v>
      </c>
      <c r="H126" s="171">
        <v>229.88</v>
      </c>
      <c r="I126" s="171">
        <f t="shared" si="104"/>
        <v>286.27</v>
      </c>
      <c r="J126" s="172">
        <f t="shared" si="105"/>
        <v>3721.51</v>
      </c>
      <c r="K126" s="130">
        <f t="shared" si="49"/>
        <v>2.8625420537372968E-3</v>
      </c>
      <c r="L126" s="210"/>
    </row>
    <row r="127" spans="2:12" ht="22.5" x14ac:dyDescent="0.25">
      <c r="B127" s="169" t="str">
        <f>'Memoria de Calculo'!B118</f>
        <v>7.15</v>
      </c>
      <c r="C127" s="58" t="str">
        <f>'Memoria de Calculo'!C118</f>
        <v>ED-48184</v>
      </c>
      <c r="D127" s="58" t="str">
        <f>'Memoria de Calculo'!D118</f>
        <v>SETOP</v>
      </c>
      <c r="E127" s="190" t="str">
        <f>'Memoria de Calculo'!E118</f>
        <v>SABONETEIRA EM AÇO INOX TIPO DISPENSER PARA SABONETE LIQUIDO COM RESERVATORIO 800 ML</v>
      </c>
      <c r="F127" s="180">
        <f>'Memoria de Calculo'!F118</f>
        <v>7</v>
      </c>
      <c r="G127" s="58" t="str">
        <f>'Memoria de Calculo'!G118</f>
        <v>unid.</v>
      </c>
      <c r="H127" s="171">
        <v>170.88</v>
      </c>
      <c r="I127" s="171">
        <f t="shared" si="104"/>
        <v>212.8</v>
      </c>
      <c r="J127" s="172">
        <f t="shared" si="105"/>
        <v>1489.6</v>
      </c>
      <c r="K127" s="130">
        <f t="shared" si="49"/>
        <v>1.1457829330693929E-3</v>
      </c>
      <c r="L127" s="210"/>
    </row>
    <row r="128" spans="2:12" ht="22.5" x14ac:dyDescent="0.25">
      <c r="B128" s="169" t="str">
        <f>'Memoria de Calculo'!B119</f>
        <v>7.16</v>
      </c>
      <c r="C128" s="58" t="str">
        <f>'Memoria de Calculo'!C119</f>
        <v>ED-48180</v>
      </c>
      <c r="D128" s="58" t="str">
        <f>'Memoria de Calculo'!D119</f>
        <v>SETOP</v>
      </c>
      <c r="E128" s="190" t="str">
        <f>'Memoria de Calculo'!E119</f>
        <v>DISPENSER EM AÇO INOX PARA PAPEL TOALHA 2 OU 3 FOLHAS</v>
      </c>
      <c r="F128" s="180">
        <f>'Memoria de Calculo'!F119</f>
        <v>7</v>
      </c>
      <c r="G128" s="58" t="str">
        <f>'Memoria de Calculo'!G119</f>
        <v>unid.</v>
      </c>
      <c r="H128" s="171">
        <v>168.24</v>
      </c>
      <c r="I128" s="171">
        <f t="shared" si="104"/>
        <v>209.51</v>
      </c>
      <c r="J128" s="172">
        <f t="shared" si="105"/>
        <v>1466.57</v>
      </c>
      <c r="K128" s="130">
        <f t="shared" si="49"/>
        <v>1.1280685258804911E-3</v>
      </c>
      <c r="L128" s="210"/>
    </row>
    <row r="129" spans="2:12" ht="22.5" x14ac:dyDescent="0.25">
      <c r="B129" s="169" t="str">
        <f>'Memoria de Calculo'!B120</f>
        <v>7.17</v>
      </c>
      <c r="C129" s="58" t="str">
        <f>'Memoria de Calculo'!C120</f>
        <v xml:space="preserve">ED-50941 </v>
      </c>
      <c r="D129" s="58" t="str">
        <f>'Memoria de Calculo'!D120</f>
        <v>SETOP</v>
      </c>
      <c r="E129" s="190" t="str">
        <f>'Memoria de Calculo'!E120</f>
        <v>CORRIMÃO SIMPLES EM TUBO DE AÇO INOX D = 1 1/2" - FIXADO EM ALVENARIA m 220,03</v>
      </c>
      <c r="F129" s="180">
        <f>'Memoria de Calculo'!F120</f>
        <v>8.1999999999999993</v>
      </c>
      <c r="G129" s="58" t="str">
        <f>'Memoria de Calculo'!G120</f>
        <v>m</v>
      </c>
      <c r="H129" s="171">
        <v>220.03</v>
      </c>
      <c r="I129" s="171">
        <f t="shared" si="104"/>
        <v>274</v>
      </c>
      <c r="J129" s="172">
        <f t="shared" si="105"/>
        <v>2246.8000000000002</v>
      </c>
      <c r="K129" s="130">
        <f t="shared" si="49"/>
        <v>1.7282123348686309E-3</v>
      </c>
      <c r="L129" s="210"/>
    </row>
    <row r="130" spans="2:12" ht="33" customHeight="1" x14ac:dyDescent="0.25">
      <c r="B130" s="169" t="str">
        <f>'Memoria de Calculo'!B121</f>
        <v>7.18</v>
      </c>
      <c r="C130" s="58" t="str">
        <f>'Memoria de Calculo'!C121</f>
        <v xml:space="preserve">ED-51150 </v>
      </c>
      <c r="D130" s="58" t="str">
        <f>'Memoria de Calculo'!D121</f>
        <v>SETOP</v>
      </c>
      <c r="E130" s="190" t="str">
        <f>'Memoria de Calculo'!E121</f>
        <v>ESPELHO (60X90CM) ESP.4MM INCLUSIVE FIXAÇÃO COM PARAFUSO FINESSON - FORNECIMENTO E INSTALAÇÃO</v>
      </c>
      <c r="F130" s="180">
        <f>'Memoria de Calculo'!F121</f>
        <v>7</v>
      </c>
      <c r="G130" s="58" t="str">
        <f>'Memoria de Calculo'!G121</f>
        <v>unid.</v>
      </c>
      <c r="H130" s="171">
        <v>227.24</v>
      </c>
      <c r="I130" s="171">
        <f t="shared" ref="I130" si="106">ROUND(H130*(1+$G$5),2)</f>
        <v>282.98</v>
      </c>
      <c r="J130" s="172">
        <f t="shared" ref="J130" si="107">TRUNC(F130*I130,2)</f>
        <v>1980.86</v>
      </c>
      <c r="K130" s="130">
        <f t="shared" si="49"/>
        <v>1.5236543909773346E-3</v>
      </c>
      <c r="L130" s="210"/>
    </row>
    <row r="131" spans="2:12" ht="12.95" customHeight="1" x14ac:dyDescent="0.25">
      <c r="B131" s="2"/>
      <c r="C131" s="1"/>
      <c r="D131" s="7"/>
      <c r="E131" s="120" t="s">
        <v>72</v>
      </c>
      <c r="F131" s="7"/>
      <c r="G131" s="7"/>
      <c r="H131" s="9"/>
      <c r="I131" s="9"/>
      <c r="J131" s="121">
        <f>TRUNC(SUM(J113:J130),2)</f>
        <v>31540.14</v>
      </c>
      <c r="K131" s="130">
        <f t="shared" si="49"/>
        <v>2.4260307544722935E-2</v>
      </c>
      <c r="L131" s="210"/>
    </row>
    <row r="132" spans="2:12" ht="12.95" customHeight="1" x14ac:dyDescent="0.25">
      <c r="B132" s="202">
        <v>8</v>
      </c>
      <c r="C132" s="1"/>
      <c r="D132" s="7"/>
      <c r="E132" s="191" t="str">
        <f>'Memoria de Calculo'!E123</f>
        <v>SERVIÇOS DE PAISAGISMO</v>
      </c>
      <c r="F132" s="7"/>
      <c r="G132" s="7"/>
      <c r="H132" s="9"/>
      <c r="I132" s="9"/>
      <c r="J132" s="122"/>
      <c r="K132" s="130">
        <f t="shared" si="49"/>
        <v>0</v>
      </c>
      <c r="L132" s="210"/>
    </row>
    <row r="133" spans="2:12" ht="12.95" customHeight="1" x14ac:dyDescent="0.25">
      <c r="B133" s="2"/>
      <c r="C133" s="1"/>
      <c r="D133" s="7"/>
      <c r="E133" s="191"/>
      <c r="F133" s="7"/>
      <c r="G133" s="7"/>
      <c r="H133" s="9"/>
      <c r="I133" s="9"/>
      <c r="J133" s="122"/>
      <c r="K133" s="130">
        <f t="shared" si="49"/>
        <v>0</v>
      </c>
      <c r="L133" s="210"/>
    </row>
    <row r="134" spans="2:12" ht="39" customHeight="1" x14ac:dyDescent="0.25">
      <c r="B134" s="169" t="str">
        <f>'Memoria de Calculo'!B125</f>
        <v>8.1</v>
      </c>
      <c r="C134" s="58" t="str">
        <f>'Memoria de Calculo'!C125</f>
        <v>ED-51100</v>
      </c>
      <c r="D134" s="58" t="str">
        <f>'Memoria de Calculo'!D125</f>
        <v>SETOP</v>
      </c>
      <c r="E134" s="20" t="str">
        <f>'Memoria de Calculo'!E125</f>
        <v>CORTE E DESATERRO PARA REGULARIZAÇÃO E ARRASTAMENTO NIVELADO A CURTA DISTÂNCIA COM LÂMINA</v>
      </c>
      <c r="F134" s="180">
        <f>'Memoria de Calculo'!F125</f>
        <v>40.715000000000003</v>
      </c>
      <c r="G134" s="58" t="str">
        <f>'Memoria de Calculo'!G125</f>
        <v>m3</v>
      </c>
      <c r="H134" s="171">
        <v>3.72</v>
      </c>
      <c r="I134" s="171">
        <f t="shared" ref="I134" si="108">ROUND(H134*(1+$G$5),2)</f>
        <v>4.63</v>
      </c>
      <c r="J134" s="172">
        <f t="shared" ref="J134" si="109">TRUNC(F134*I134,2)</f>
        <v>188.51</v>
      </c>
      <c r="K134" s="130">
        <f t="shared" si="49"/>
        <v>1.4499969167085881E-4</v>
      </c>
      <c r="L134" s="210"/>
    </row>
    <row r="135" spans="2:12" ht="30" customHeight="1" x14ac:dyDescent="0.25">
      <c r="B135" s="169" t="str">
        <f>'Memoria de Calculo'!B126</f>
        <v>8.2</v>
      </c>
      <c r="C135" s="58" t="str">
        <f>'Memoria de Calculo'!C126</f>
        <v xml:space="preserve">ED-51132 </v>
      </c>
      <c r="D135" s="58" t="str">
        <f>'Memoria de Calculo'!D126</f>
        <v>SETOP</v>
      </c>
      <c r="E135" s="20" t="str">
        <f>'Memoria de Calculo'!E126</f>
        <v>CARGA DE MATERIAL DE QUALQUER NATUREZA SOBRE CAMINHÃO - MECÂNICA</v>
      </c>
      <c r="F135" s="180">
        <f>'Memoria de Calculo'!F126</f>
        <v>40.715000000000003</v>
      </c>
      <c r="G135" s="58" t="str">
        <f>'Memoria de Calculo'!G126</f>
        <v>m3</v>
      </c>
      <c r="H135" s="171">
        <v>2.96</v>
      </c>
      <c r="I135" s="171">
        <f t="shared" ref="I135" si="110">ROUND(H135*(1+$G$5),2)</f>
        <v>3.69</v>
      </c>
      <c r="J135" s="172">
        <f>40.72*3.69</f>
        <v>150.2568</v>
      </c>
      <c r="K135" s="130">
        <f t="shared" si="49"/>
        <v>1.1557577673041164E-4</v>
      </c>
      <c r="L135" s="210">
        <f>40.72*3.69</f>
        <v>150.2568</v>
      </c>
    </row>
    <row r="136" spans="2:12" ht="26.25" customHeight="1" x14ac:dyDescent="0.25">
      <c r="B136" s="169" t="str">
        <f>'Memoria de Calculo'!B127</f>
        <v>8.3</v>
      </c>
      <c r="C136" s="58"/>
      <c r="D136" s="58"/>
      <c r="E136" s="20" t="str">
        <f>'Memoria de Calculo'!E127</f>
        <v>FORNECIMENTO DE ÁRVORE PINHEIRO DE JARDIN COM ALTURA MÉDIA DE 2,00M, INCLUSIVE PLANTIO</v>
      </c>
      <c r="F136" s="180">
        <f>'Memoria de Calculo'!F127</f>
        <v>5</v>
      </c>
      <c r="G136" s="58" t="str">
        <f>'Memoria de Calculo'!G127</f>
        <v>m</v>
      </c>
      <c r="H136" s="171">
        <v>465</v>
      </c>
      <c r="I136" s="171">
        <f t="shared" ref="I136:I137" si="111">ROUND(H136*(1+$G$5),2)</f>
        <v>579.05999999999995</v>
      </c>
      <c r="J136" s="172">
        <f t="shared" ref="J136" si="112">TRUNC(F136*I136,2)</f>
        <v>2895.3</v>
      </c>
      <c r="K136" s="130">
        <f t="shared" si="49"/>
        <v>2.2270309654375763E-3</v>
      </c>
      <c r="L136" s="210"/>
    </row>
    <row r="137" spans="2:12" ht="41.25" customHeight="1" x14ac:dyDescent="0.25">
      <c r="B137" s="169" t="str">
        <f>'Memoria de Calculo'!B128</f>
        <v>8.4</v>
      </c>
      <c r="C137" s="58" t="str">
        <f>'Memoria de Calculo'!C128</f>
        <v>ED-50437</v>
      </c>
      <c r="D137" s="58" t="str">
        <f>'Memoria de Calculo'!D128</f>
        <v>SETOP</v>
      </c>
      <c r="E137" s="20" t="str">
        <f>'Memoria de Calculo'!E128</f>
        <v>PLANTIO DE GRAMA ESMERALDA EM PLACAS, INCLUSIVE TERRA VEGETAL E CONSERVAÇÃO POR TRINTA (30) DIAS  m2 28,40</v>
      </c>
      <c r="F137" s="180">
        <f>'Memoria de Calculo'!F128</f>
        <v>203.57499999999999</v>
      </c>
      <c r="G137" s="58" t="str">
        <f>'Memoria de Calculo'!G128</f>
        <v>m2</v>
      </c>
      <c r="H137" s="171">
        <v>28.4</v>
      </c>
      <c r="I137" s="171">
        <f t="shared" si="111"/>
        <v>35.369999999999997</v>
      </c>
      <c r="J137" s="172">
        <f>203.58*35.37</f>
        <v>7200.6246000000001</v>
      </c>
      <c r="K137" s="130">
        <f t="shared" si="49"/>
        <v>5.5386363950856773E-3</v>
      </c>
      <c r="L137" s="210">
        <f>203.58*35.37</f>
        <v>7200.6246000000001</v>
      </c>
    </row>
    <row r="138" spans="2:12" ht="41.25" customHeight="1" x14ac:dyDescent="0.25">
      <c r="B138" s="169" t="str">
        <f>'Memoria de Calculo'!B129</f>
        <v>8.5</v>
      </c>
      <c r="C138" s="58" t="str">
        <f>'Memoria de Calculo'!C129</f>
        <v>ED-50266</v>
      </c>
      <c r="D138" s="58" t="str">
        <f>'Memoria de Calculo'!D129</f>
        <v>SETOP</v>
      </c>
      <c r="E138" s="20" t="str">
        <f>'Memoria de Calculo'!E129</f>
        <v xml:space="preserve"> LIMPEZA FINAL PARA ENTREGA DA OBRA m2 6,43
</v>
      </c>
      <c r="F138" s="180">
        <v>683.74</v>
      </c>
      <c r="G138" s="58" t="str">
        <f>'Memoria de Calculo'!G129</f>
        <v>m2</v>
      </c>
      <c r="H138" s="171">
        <v>6.43</v>
      </c>
      <c r="I138" s="171">
        <f t="shared" ref="I138" si="113">ROUND(H138*(1+$G$5),2)</f>
        <v>8.01</v>
      </c>
      <c r="J138" s="172">
        <f>683.74*8.01</f>
        <v>5476.7573999999995</v>
      </c>
      <c r="K138" s="130">
        <f t="shared" si="49"/>
        <v>4.212657866193275E-3</v>
      </c>
      <c r="L138" s="213">
        <f>683.74*8.01</f>
        <v>5476.7573999999995</v>
      </c>
    </row>
    <row r="139" spans="2:12" ht="12.95" customHeight="1" x14ac:dyDescent="0.25">
      <c r="B139" s="169"/>
      <c r="C139" s="1"/>
      <c r="D139" s="7"/>
      <c r="E139" s="120" t="s">
        <v>72</v>
      </c>
      <c r="F139" s="7"/>
      <c r="G139" s="7"/>
      <c r="H139" s="9"/>
      <c r="I139" s="9"/>
      <c r="J139" s="121">
        <f>TRUNC(SUM(J134:J138),2)</f>
        <v>15911.44</v>
      </c>
      <c r="K139" s="37"/>
      <c r="L139" s="210"/>
    </row>
    <row r="140" spans="2:12" ht="12.95" customHeight="1" x14ac:dyDescent="0.25">
      <c r="B140" s="177">
        <v>9</v>
      </c>
      <c r="C140" s="188"/>
      <c r="D140" s="188"/>
      <c r="E140" s="207" t="str">
        <f>'Memoria de Calculo'!E131</f>
        <v xml:space="preserve">BRISE  </v>
      </c>
      <c r="F140" s="7"/>
      <c r="G140" s="7"/>
      <c r="H140" s="9"/>
      <c r="I140" s="9"/>
      <c r="J140" s="122"/>
      <c r="K140" s="37"/>
      <c r="L140" s="210"/>
    </row>
    <row r="141" spans="2:12" ht="12.95" customHeight="1" x14ac:dyDescent="0.25">
      <c r="B141" s="169"/>
      <c r="C141" s="58"/>
      <c r="D141" s="58"/>
      <c r="E141" s="20"/>
      <c r="F141" s="7"/>
      <c r="G141" s="16"/>
      <c r="H141" s="9"/>
      <c r="I141" s="9"/>
      <c r="J141" s="14"/>
      <c r="K141" s="37"/>
    </row>
    <row r="142" spans="2:12" ht="166.5" customHeight="1" x14ac:dyDescent="0.25">
      <c r="B142" s="6" t="s">
        <v>420</v>
      </c>
      <c r="C142" s="58" t="str">
        <f>'Memoria de Calculo'!C133</f>
        <v>OÇAMENTO</v>
      </c>
      <c r="D142" s="7"/>
      <c r="E142" s="20" t="str">
        <f>'Memoria de Calculo'!E133</f>
        <v>Fornecimento e Instalação de painel em aço corten com recortes e espessura 2mm. Painel fachada composto por chapas de aço corten com recortes feitos a plasma, estruturado com perfis em aço corten, com área total de 120 m², acabamento oxidado natural. 07 (sete) painéis em aço corten, recortes feitos a plasma, estruturado com
perfis de aço corten, com dimensão aproximadas de 275x270cm, Acabamento oxidado natural. Brise composto por chapas de aço corten com espessura de 2mm,
estruturado com chapas de aço corten com espessura de 3mm, chapas base com espessura de 8mm, chumbadores bengalas, recortes feitos a plasma, 23 (vinte e três) unidades com dimensões de 50x15x540cm cada,
acabamento oxidado natural.</v>
      </c>
      <c r="F142" s="180">
        <f>'Memoria de Calculo'!F133</f>
        <v>1</v>
      </c>
      <c r="G142" s="58" t="str">
        <f>'Memoria de Calculo'!G133</f>
        <v>unid.</v>
      </c>
      <c r="H142" s="171">
        <v>422572</v>
      </c>
      <c r="I142" s="171">
        <f t="shared" ref="I142" si="114">ROUND(H142*(1+$G$5),2)</f>
        <v>526228.91</v>
      </c>
      <c r="J142" s="172">
        <f t="shared" ref="J142" si="115">TRUNC(F142*I142,2)</f>
        <v>526228.91</v>
      </c>
      <c r="K142" s="130">
        <f t="shared" ref="K142" si="116">J142/I$145</f>
        <v>0.40476913531532605</v>
      </c>
    </row>
    <row r="143" spans="2:12" ht="12.95" customHeight="1" x14ac:dyDescent="0.25">
      <c r="B143" s="6"/>
      <c r="C143" s="7"/>
      <c r="D143" s="7"/>
      <c r="E143" s="120" t="s">
        <v>72</v>
      </c>
      <c r="F143" s="7"/>
      <c r="G143" s="7"/>
      <c r="H143" s="9"/>
      <c r="I143" s="9"/>
      <c r="J143" s="121">
        <f>TRUNC(SUM(J142),2)</f>
        <v>526228.91</v>
      </c>
      <c r="K143" s="37"/>
    </row>
    <row r="144" spans="2:12" ht="12.95" customHeight="1" thickBot="1" x14ac:dyDescent="0.3">
      <c r="B144" s="45"/>
      <c r="C144" s="46"/>
      <c r="D144" s="46"/>
      <c r="E144" s="46"/>
      <c r="F144" s="46"/>
      <c r="G144" s="46"/>
      <c r="H144" s="46"/>
      <c r="I144" s="46"/>
      <c r="J144" s="47"/>
      <c r="K144" s="37"/>
    </row>
    <row r="145" spans="2:12" ht="12.95" customHeight="1" x14ac:dyDescent="0.25">
      <c r="B145" s="240" t="s">
        <v>20</v>
      </c>
      <c r="C145" s="241"/>
      <c r="D145" s="241"/>
      <c r="E145" s="241"/>
      <c r="F145" s="241"/>
      <c r="G145" s="241"/>
      <c r="H145" s="242"/>
      <c r="I145" s="249">
        <f>TRUNC(J139+J131+J109+J91+J61++J47+J36+J15+J143,2)</f>
        <v>1300071.73</v>
      </c>
      <c r="J145" s="250"/>
      <c r="K145" s="37"/>
    </row>
    <row r="146" spans="2:12" ht="12.95" customHeight="1" x14ac:dyDescent="0.25">
      <c r="B146" s="243"/>
      <c r="C146" s="244"/>
      <c r="D146" s="244"/>
      <c r="E146" s="244"/>
      <c r="F146" s="244"/>
      <c r="G146" s="244"/>
      <c r="H146" s="245"/>
      <c r="I146" s="251"/>
      <c r="J146" s="252"/>
      <c r="K146" s="37"/>
      <c r="L146" s="209">
        <v>1300071.73</v>
      </c>
    </row>
    <row r="147" spans="2:12" ht="12.95" customHeight="1" thickBot="1" x14ac:dyDescent="0.3">
      <c r="B147" s="246"/>
      <c r="C147" s="247"/>
      <c r="D147" s="247"/>
      <c r="E147" s="247"/>
      <c r="F147" s="247"/>
      <c r="G147" s="247"/>
      <c r="H147" s="248"/>
      <c r="I147" s="253"/>
      <c r="J147" s="254"/>
      <c r="K147" s="37"/>
      <c r="L147" s="212">
        <f>I145-L146</f>
        <v>0</v>
      </c>
    </row>
    <row r="148" spans="2:12" ht="12.95" customHeight="1" x14ac:dyDescent="0.25">
      <c r="B148" s="128"/>
      <c r="C148" s="128"/>
      <c r="D148" s="128"/>
      <c r="E148" s="128"/>
      <c r="F148" s="128"/>
      <c r="G148" s="128"/>
      <c r="H148" s="128"/>
      <c r="I148" s="129"/>
      <c r="J148" s="129"/>
      <c r="K148" s="37"/>
    </row>
    <row r="149" spans="2:12" ht="9.75" customHeight="1" thickBot="1" x14ac:dyDescent="0.3">
      <c r="K149" s="37"/>
    </row>
    <row r="150" spans="2:12" ht="12.95" customHeight="1" x14ac:dyDescent="0.25">
      <c r="B150" s="49"/>
      <c r="C150" s="50"/>
      <c r="D150" s="50"/>
      <c r="E150" s="68" t="s">
        <v>21</v>
      </c>
      <c r="F150" s="50"/>
      <c r="G150" s="50"/>
      <c r="H150" s="50"/>
      <c r="I150" s="50"/>
      <c r="J150" s="51"/>
    </row>
    <row r="151" spans="2:12" ht="12.95" customHeight="1" x14ac:dyDescent="0.25">
      <c r="B151" s="59"/>
      <c r="C151" s="60"/>
      <c r="D151" s="1"/>
      <c r="E151" s="48"/>
      <c r="F151" s="60"/>
      <c r="G151" s="60"/>
      <c r="H151" s="60"/>
      <c r="I151" s="60"/>
      <c r="J151" s="61"/>
    </row>
    <row r="152" spans="2:12" ht="12.95" customHeight="1" x14ac:dyDescent="0.25">
      <c r="B152" s="52"/>
      <c r="C152" s="53"/>
      <c r="D152" s="53"/>
      <c r="E152" s="23"/>
      <c r="F152" s="53"/>
      <c r="G152" s="53"/>
      <c r="H152" s="54"/>
      <c r="I152" s="54"/>
      <c r="J152" s="55"/>
    </row>
    <row r="153" spans="2:12" ht="12.95" customHeight="1" x14ac:dyDescent="0.25">
      <c r="B153" s="200">
        <v>1</v>
      </c>
      <c r="C153" s="1"/>
      <c r="D153" s="1"/>
      <c r="E153" s="44" t="str">
        <f>E8</f>
        <v xml:space="preserve">SERVIÇOS INICIAIS </v>
      </c>
      <c r="F153" s="1"/>
      <c r="G153" s="1"/>
      <c r="H153" s="1"/>
      <c r="I153" s="1"/>
      <c r="J153" s="57">
        <f>J15</f>
        <v>94686.2</v>
      </c>
    </row>
    <row r="154" spans="2:12" ht="12.95" customHeight="1" x14ac:dyDescent="0.25">
      <c r="B154" s="201">
        <v>2</v>
      </c>
      <c r="C154" s="23"/>
      <c r="D154" s="23"/>
      <c r="E154" s="24" t="str">
        <f>E17</f>
        <v>INSTALÇÃO ELETRICA</v>
      </c>
      <c r="F154" s="23"/>
      <c r="G154" s="23"/>
      <c r="H154" s="23"/>
      <c r="I154" s="23"/>
      <c r="J154" s="56">
        <f>J36</f>
        <v>70561.62</v>
      </c>
    </row>
    <row r="155" spans="2:12" ht="12.95" customHeight="1" x14ac:dyDescent="0.25">
      <c r="B155" s="200">
        <v>3</v>
      </c>
      <c r="C155" s="1"/>
      <c r="D155" s="1"/>
      <c r="E155" s="44" t="str">
        <f>E38</f>
        <v>INSTALAÇÕES DE REDE LÓGICA E TELEFONIA</v>
      </c>
      <c r="F155" s="1"/>
      <c r="G155" s="1"/>
      <c r="H155" s="1"/>
      <c r="I155" s="1"/>
      <c r="J155" s="57">
        <f>J47</f>
        <v>45400.82</v>
      </c>
    </row>
    <row r="156" spans="2:12" ht="12.95" customHeight="1" x14ac:dyDescent="0.25">
      <c r="B156" s="201">
        <v>4</v>
      </c>
      <c r="C156" s="23"/>
      <c r="D156" s="23"/>
      <c r="E156" s="24" t="str">
        <f>E49</f>
        <v>ESQUADRIAS</v>
      </c>
      <c r="F156" s="23"/>
      <c r="G156" s="23"/>
      <c r="H156" s="23"/>
      <c r="I156" s="23"/>
      <c r="J156" s="56">
        <f>J61</f>
        <v>92508.83</v>
      </c>
    </row>
    <row r="157" spans="2:12" ht="12.95" customHeight="1" x14ac:dyDescent="0.25">
      <c r="B157" s="200">
        <v>5</v>
      </c>
      <c r="C157" s="1"/>
      <c r="D157" s="1"/>
      <c r="E157" s="44" t="str">
        <f>E63</f>
        <v>PISOS E REVESTIMENTOS</v>
      </c>
      <c r="F157" s="1"/>
      <c r="G157" s="1"/>
      <c r="H157" s="1"/>
      <c r="I157" s="1"/>
      <c r="J157" s="57">
        <f>J91</f>
        <v>296774.90999999997</v>
      </c>
    </row>
    <row r="158" spans="2:12" ht="12.95" customHeight="1" x14ac:dyDescent="0.25">
      <c r="B158" s="201">
        <v>6</v>
      </c>
      <c r="C158" s="23"/>
      <c r="D158" s="23"/>
      <c r="E158" s="24" t="str">
        <f>E93</f>
        <v>PINTURAS</v>
      </c>
      <c r="F158" s="23"/>
      <c r="G158" s="23"/>
      <c r="H158" s="23"/>
      <c r="I158" s="23"/>
      <c r="J158" s="56">
        <f>J109</f>
        <v>126458.86</v>
      </c>
    </row>
    <row r="159" spans="2:12" ht="12.95" customHeight="1" x14ac:dyDescent="0.25">
      <c r="B159" s="200">
        <v>7</v>
      </c>
      <c r="C159" s="1"/>
      <c r="D159" s="1"/>
      <c r="E159" s="196" t="str">
        <f>E111</f>
        <v>LOUÇAS, METAIS E ACESSORIOS</v>
      </c>
      <c r="F159" s="1"/>
      <c r="G159" s="1"/>
      <c r="H159" s="1"/>
      <c r="I159" s="1"/>
      <c r="J159" s="197">
        <f>J131</f>
        <v>31540.14</v>
      </c>
    </row>
    <row r="160" spans="2:12" ht="12.95" customHeight="1" x14ac:dyDescent="0.25">
      <c r="B160" s="201">
        <v>8</v>
      </c>
      <c r="C160" s="23"/>
      <c r="D160" s="23"/>
      <c r="E160" s="199" t="str">
        <f>E132</f>
        <v>SERVIÇOS DE PAISAGISMO</v>
      </c>
      <c r="F160" s="23"/>
      <c r="G160" s="23"/>
      <c r="H160" s="23"/>
      <c r="I160" s="23"/>
      <c r="J160" s="198">
        <f>J139</f>
        <v>15911.44</v>
      </c>
    </row>
    <row r="161" spans="2:11" ht="12.75" customHeight="1" x14ac:dyDescent="0.25">
      <c r="B161" s="208">
        <v>9</v>
      </c>
      <c r="C161" s="1"/>
      <c r="D161" s="1"/>
      <c r="E161" s="134" t="str">
        <f>E140</f>
        <v xml:space="preserve">BRISE  </v>
      </c>
      <c r="F161" s="1"/>
      <c r="G161" s="1"/>
      <c r="H161" s="1"/>
      <c r="I161" s="1"/>
      <c r="J161" s="197">
        <f>J143</f>
        <v>526228.91</v>
      </c>
      <c r="K161" s="31"/>
    </row>
    <row r="162" spans="2:11" ht="12.75" customHeight="1" x14ac:dyDescent="0.25">
      <c r="B162" s="22"/>
      <c r="C162" s="23"/>
      <c r="D162" s="23"/>
      <c r="E162" s="23"/>
      <c r="F162" s="23"/>
      <c r="G162" s="23"/>
      <c r="H162" s="23"/>
      <c r="I162" s="23"/>
      <c r="J162" s="25"/>
      <c r="K162" s="31"/>
    </row>
    <row r="163" spans="2:11" ht="12.75" customHeight="1" thickBot="1" x14ac:dyDescent="0.3">
      <c r="B163" s="64"/>
      <c r="C163" s="65"/>
      <c r="D163" s="65"/>
      <c r="E163" s="65"/>
      <c r="F163" s="65"/>
      <c r="G163" s="65"/>
      <c r="H163" s="65"/>
      <c r="I163" s="66"/>
      <c r="J163" s="67"/>
      <c r="K163" s="31"/>
    </row>
    <row r="164" spans="2:11" ht="12.75" customHeight="1" x14ac:dyDescent="0.25">
      <c r="B164" s="240" t="s">
        <v>20</v>
      </c>
      <c r="C164" s="241"/>
      <c r="D164" s="241"/>
      <c r="E164" s="241"/>
      <c r="F164" s="241"/>
      <c r="G164" s="241"/>
      <c r="H164" s="242"/>
      <c r="I164" s="261">
        <f>SUM(J153:J161)</f>
        <v>1300071.73</v>
      </c>
      <c r="J164" s="250"/>
      <c r="K164" s="31"/>
    </row>
    <row r="165" spans="2:11" ht="12.75" customHeight="1" x14ac:dyDescent="0.25">
      <c r="B165" s="243"/>
      <c r="C165" s="244"/>
      <c r="D165" s="244"/>
      <c r="E165" s="244"/>
      <c r="F165" s="244"/>
      <c r="G165" s="244"/>
      <c r="H165" s="245"/>
      <c r="I165" s="262"/>
      <c r="J165" s="252"/>
      <c r="K165" s="31"/>
    </row>
    <row r="166" spans="2:11" ht="12.75" customHeight="1" thickBot="1" x14ac:dyDescent="0.3">
      <c r="B166" s="246"/>
      <c r="C166" s="247"/>
      <c r="D166" s="247"/>
      <c r="E166" s="247"/>
      <c r="F166" s="247"/>
      <c r="G166" s="247"/>
      <c r="H166" s="248"/>
      <c r="I166" s="263"/>
      <c r="J166" s="254"/>
      <c r="K166" s="31"/>
    </row>
    <row r="167" spans="2:11" ht="12.75" customHeight="1" x14ac:dyDescent="0.25">
      <c r="B167" s="63"/>
      <c r="C167" s="63"/>
      <c r="D167" s="63"/>
      <c r="E167" s="63"/>
      <c r="F167" s="63"/>
      <c r="G167" s="63"/>
      <c r="H167" s="63"/>
      <c r="I167" s="31"/>
      <c r="J167" s="31"/>
      <c r="K167" s="31"/>
    </row>
    <row r="168" spans="2:11" ht="18" customHeight="1" x14ac:dyDescent="0.25">
      <c r="B168" s="255"/>
      <c r="C168" s="255"/>
      <c r="D168" s="256"/>
      <c r="E168" s="256"/>
      <c r="F168" s="76"/>
      <c r="G168" s="257"/>
      <c r="H168" s="257"/>
      <c r="I168" s="257"/>
      <c r="J168" s="257"/>
      <c r="K168" s="32"/>
    </row>
    <row r="169" spans="2:11" ht="18" customHeight="1" x14ac:dyDescent="0.25">
      <c r="B169" s="255"/>
      <c r="C169" s="255"/>
      <c r="D169" s="258"/>
      <c r="E169" s="258"/>
      <c r="F169" s="76"/>
      <c r="G169" s="259"/>
      <c r="H169" s="259"/>
      <c r="I169" s="259"/>
      <c r="J169" s="259"/>
      <c r="K169" s="33"/>
    </row>
    <row r="170" spans="2:11" ht="23.85" customHeight="1" x14ac:dyDescent="0.25">
      <c r="B170" s="255"/>
      <c r="C170" s="255"/>
      <c r="D170" s="260"/>
      <c r="E170" s="260"/>
      <c r="F170" s="76"/>
      <c r="G170" s="260"/>
      <c r="H170" s="260"/>
      <c r="I170" s="260"/>
      <c r="J170" s="260"/>
      <c r="K170" s="34"/>
    </row>
    <row r="171" spans="2:11" ht="17.25" customHeight="1" x14ac:dyDescent="0.25">
      <c r="B171" s="255"/>
      <c r="C171" s="255"/>
      <c r="D171" s="259"/>
      <c r="E171" s="259"/>
      <c r="F171" s="76"/>
      <c r="G171" s="255"/>
      <c r="H171" s="255"/>
      <c r="I171" s="255"/>
      <c r="J171" s="255"/>
      <c r="K171" s="35"/>
    </row>
    <row r="172" spans="2:11" ht="18" customHeight="1" x14ac:dyDescent="0.25">
      <c r="B172" s="36"/>
      <c r="C172" s="36"/>
      <c r="D172" s="77"/>
      <c r="E172" s="36"/>
      <c r="F172" s="76"/>
      <c r="G172" s="36"/>
      <c r="H172" s="78"/>
      <c r="I172" s="78"/>
      <c r="J172" s="36"/>
      <c r="K172" s="36"/>
    </row>
    <row r="173" spans="2:11" x14ac:dyDescent="0.25">
      <c r="K173" s="102"/>
    </row>
    <row r="174" spans="2:11" x14ac:dyDescent="0.25">
      <c r="K174" s="102"/>
    </row>
    <row r="175" spans="2:11" x14ac:dyDescent="0.25">
      <c r="K175" s="37"/>
    </row>
    <row r="176" spans="2:11" x14ac:dyDescent="0.25">
      <c r="K176" s="108"/>
    </row>
    <row r="177" spans="11:11" x14ac:dyDescent="0.25">
      <c r="K177" s="108"/>
    </row>
    <row r="178" spans="11:11" x14ac:dyDescent="0.25">
      <c r="K178" s="108"/>
    </row>
    <row r="179" spans="11:11" x14ac:dyDescent="0.25">
      <c r="K179" s="108"/>
    </row>
    <row r="180" spans="11:11" x14ac:dyDescent="0.25">
      <c r="K180" s="108"/>
    </row>
    <row r="181" spans="11:11" x14ac:dyDescent="0.25">
      <c r="K181" s="108"/>
    </row>
    <row r="182" spans="11:11" x14ac:dyDescent="0.25">
      <c r="K182" s="102"/>
    </row>
    <row r="183" spans="11:11" x14ac:dyDescent="0.25">
      <c r="K183" s="102"/>
    </row>
    <row r="184" spans="11:11" x14ac:dyDescent="0.25">
      <c r="K184" s="102"/>
    </row>
    <row r="185" spans="11:11" x14ac:dyDescent="0.25">
      <c r="K185" s="102"/>
    </row>
    <row r="186" spans="11:11" x14ac:dyDescent="0.25">
      <c r="K186" s="102"/>
    </row>
    <row r="187" spans="11:11" x14ac:dyDescent="0.25">
      <c r="K187" s="102"/>
    </row>
    <row r="188" spans="11:11" x14ac:dyDescent="0.25">
      <c r="K188" s="102"/>
    </row>
    <row r="189" spans="11:11" x14ac:dyDescent="0.25">
      <c r="K189" s="102"/>
    </row>
    <row r="190" spans="11:11" x14ac:dyDescent="0.25">
      <c r="K190" s="102"/>
    </row>
    <row r="191" spans="11:11" x14ac:dyDescent="0.25">
      <c r="K191" s="102"/>
    </row>
    <row r="192" spans="11:11" x14ac:dyDescent="0.25">
      <c r="K192" s="102"/>
    </row>
    <row r="197" spans="11:11" x14ac:dyDescent="0.25">
      <c r="K197" s="31"/>
    </row>
    <row r="198" spans="11:11" ht="0.75" customHeight="1" x14ac:dyDescent="0.25">
      <c r="K198" s="31"/>
    </row>
    <row r="199" spans="11:11" ht="5.25" customHeight="1" x14ac:dyDescent="0.25">
      <c r="K199" s="31"/>
    </row>
  </sheetData>
  <mergeCells count="24">
    <mergeCell ref="Q50:S50"/>
    <mergeCell ref="Q52:S52"/>
    <mergeCell ref="B145:H147"/>
    <mergeCell ref="I145:J147"/>
    <mergeCell ref="B168:C171"/>
    <mergeCell ref="D168:E168"/>
    <mergeCell ref="G168:J168"/>
    <mergeCell ref="D169:E169"/>
    <mergeCell ref="G169:J169"/>
    <mergeCell ref="D170:E170"/>
    <mergeCell ref="G170:J170"/>
    <mergeCell ref="D171:E171"/>
    <mergeCell ref="G171:J171"/>
    <mergeCell ref="B164:H166"/>
    <mergeCell ref="I164:J166"/>
    <mergeCell ref="B2:C5"/>
    <mergeCell ref="D2:E2"/>
    <mergeCell ref="G2:J2"/>
    <mergeCell ref="D3:E3"/>
    <mergeCell ref="G3:J3"/>
    <mergeCell ref="D4:E4"/>
    <mergeCell ref="G4:J4"/>
    <mergeCell ref="D5:E5"/>
    <mergeCell ref="G5:J5"/>
  </mergeCells>
  <printOptions horizontalCentered="1" verticalCentered="1"/>
  <pageMargins left="0.47244094488188981" right="0" top="0.74803149606299213" bottom="0.74803149606299213" header="0.31496062992125984" footer="0.31496062992125984"/>
  <pageSetup paperSize="9" orientation="landscape" r:id="rId1"/>
  <headerFooter>
    <oddFooter>&amp;L20/11/2022&amp;C______________________________________________________
Bruna Luizy Silveira Arquiteta Urbanista CAU A272685-8&amp;R
&amp;P</oddFooter>
  </headerFooter>
  <rowBreaks count="3" manualBreakCount="3">
    <brk id="128" max="9" man="1"/>
    <brk id="139" max="9" man="1"/>
    <brk id="14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0"/>
  <sheetViews>
    <sheetView zoomScale="115" zoomScaleNormal="115" zoomScaleSheetLayoutView="100" workbookViewId="0">
      <selection activeCell="E129" sqref="E129"/>
    </sheetView>
  </sheetViews>
  <sheetFormatPr defaultRowHeight="15" x14ac:dyDescent="0.25"/>
  <cols>
    <col min="1" max="1" width="1.7109375" customWidth="1"/>
    <col min="2" max="2" width="9.28515625" customWidth="1"/>
    <col min="3" max="3" width="13" customWidth="1"/>
    <col min="4" max="4" width="12.85546875" customWidth="1"/>
    <col min="5" max="5" width="47" customWidth="1"/>
    <col min="6" max="6" width="8.5703125" style="131" customWidth="1"/>
    <col min="7" max="7" width="6.140625" customWidth="1"/>
    <col min="8" max="9" width="12.140625" customWidth="1"/>
    <col min="10" max="10" width="14.140625" customWidth="1"/>
    <col min="11" max="11" width="10.140625" customWidth="1"/>
    <col min="13" max="13" width="9.140625" customWidth="1"/>
  </cols>
  <sheetData>
    <row r="1" spans="2:11" ht="2.25" customHeight="1" thickBot="1" x14ac:dyDescent="0.3">
      <c r="B1" s="117"/>
      <c r="C1" s="203"/>
      <c r="D1" s="203"/>
      <c r="E1" s="203"/>
      <c r="F1" s="204"/>
      <c r="G1" s="203"/>
      <c r="H1" s="203"/>
      <c r="I1" s="203"/>
      <c r="J1" s="118"/>
    </row>
    <row r="2" spans="2:11" ht="18" customHeight="1" thickBot="1" x14ac:dyDescent="0.3">
      <c r="B2" s="215"/>
      <c r="C2" s="216"/>
      <c r="D2" s="273" t="s">
        <v>0</v>
      </c>
      <c r="E2" s="222"/>
      <c r="F2" s="4" t="s">
        <v>1</v>
      </c>
      <c r="G2" s="223" t="s">
        <v>2</v>
      </c>
      <c r="H2" s="224"/>
      <c r="I2" s="224"/>
      <c r="J2" s="225"/>
      <c r="K2" s="32"/>
    </row>
    <row r="3" spans="2:11" ht="15" customHeight="1" thickBot="1" x14ac:dyDescent="0.3">
      <c r="B3" s="217"/>
      <c r="C3" s="218"/>
      <c r="D3" s="272" t="str">
        <f>'Planilha Orçamentaria (2)'!D3:E3</f>
        <v>E-mail: cmcfundo@gmail.com – CNPJ 02.347.381/0001-05</v>
      </c>
      <c r="E3" s="227"/>
      <c r="F3" s="4" t="s">
        <v>3</v>
      </c>
      <c r="G3" s="228" t="s">
        <v>4</v>
      </c>
      <c r="H3" s="229"/>
      <c r="I3" s="229"/>
      <c r="J3" s="230"/>
      <c r="K3" s="33"/>
    </row>
    <row r="4" spans="2:11" ht="23.25" customHeight="1" thickBot="1" x14ac:dyDescent="0.3">
      <c r="B4" s="217"/>
      <c r="C4" s="218"/>
      <c r="D4" s="231" t="str">
        <f>'Planilha Orçamentaria (2)'!D4:E4</f>
        <v xml:space="preserve">Tel: (037) 3322-9122 - Rua Galeno Silva, nº 146– Centro – CEP 35.578-000 </v>
      </c>
      <c r="E4" s="232"/>
      <c r="F4" s="3" t="s">
        <v>5</v>
      </c>
      <c r="G4" s="233" t="s">
        <v>6</v>
      </c>
      <c r="H4" s="234"/>
      <c r="I4" s="234"/>
      <c r="J4" s="235"/>
      <c r="K4" s="34"/>
    </row>
    <row r="5" spans="2:11" ht="18" customHeight="1" thickBot="1" x14ac:dyDescent="0.3">
      <c r="B5" s="219"/>
      <c r="C5" s="220"/>
      <c r="D5" s="228" t="s">
        <v>87</v>
      </c>
      <c r="E5" s="230"/>
      <c r="F5" s="4" t="s">
        <v>53</v>
      </c>
      <c r="G5" s="236">
        <f>BDI!I6</f>
        <v>0.24529999999999999</v>
      </c>
      <c r="H5" s="237"/>
      <c r="I5" s="237"/>
      <c r="J5" s="227"/>
      <c r="K5" s="35"/>
    </row>
    <row r="6" spans="2:11" ht="18" customHeight="1" thickBot="1" x14ac:dyDescent="0.3">
      <c r="B6" s="274" t="s">
        <v>88</v>
      </c>
      <c r="C6" s="275"/>
      <c r="D6" s="275"/>
      <c r="E6" s="275"/>
      <c r="F6" s="275"/>
      <c r="G6" s="275"/>
      <c r="H6" s="275"/>
      <c r="I6" s="275"/>
      <c r="J6" s="276"/>
      <c r="K6" s="35"/>
    </row>
    <row r="7" spans="2:11" ht="15" customHeight="1" thickBot="1" x14ac:dyDescent="0.3">
      <c r="B7" s="5" t="s">
        <v>8</v>
      </c>
      <c r="C7" s="5" t="s">
        <v>12</v>
      </c>
      <c r="D7" s="29" t="s">
        <v>13</v>
      </c>
      <c r="E7" s="5" t="s">
        <v>9</v>
      </c>
      <c r="F7" s="4" t="s">
        <v>36</v>
      </c>
      <c r="G7" s="5" t="s">
        <v>35</v>
      </c>
      <c r="H7" s="28" t="s">
        <v>10</v>
      </c>
      <c r="I7" s="30" t="s">
        <v>18</v>
      </c>
      <c r="J7" s="5" t="s">
        <v>11</v>
      </c>
      <c r="K7" s="36"/>
    </row>
    <row r="8" spans="2:11" ht="12.95" customHeight="1" x14ac:dyDescent="0.25">
      <c r="B8" s="126">
        <v>1</v>
      </c>
      <c r="C8" s="10"/>
      <c r="D8" s="10"/>
      <c r="E8" s="27" t="s">
        <v>15</v>
      </c>
      <c r="F8" s="132"/>
      <c r="G8" s="10"/>
      <c r="H8" s="10"/>
      <c r="I8" s="10"/>
      <c r="J8" s="11"/>
      <c r="K8" s="17"/>
    </row>
    <row r="9" spans="2:11" ht="72" x14ac:dyDescent="0.25">
      <c r="B9" s="6" t="s">
        <v>22</v>
      </c>
      <c r="C9" s="7" t="s">
        <v>75</v>
      </c>
      <c r="D9" s="7" t="s">
        <v>16</v>
      </c>
      <c r="E9" s="21" t="s">
        <v>76</v>
      </c>
      <c r="F9" s="8">
        <v>4.5</v>
      </c>
      <c r="G9" s="7" t="s">
        <v>17</v>
      </c>
      <c r="H9" s="277" t="s">
        <v>96</v>
      </c>
      <c r="I9" s="278"/>
      <c r="J9" s="279"/>
      <c r="K9" s="130"/>
    </row>
    <row r="10" spans="2:11" ht="108" x14ac:dyDescent="0.25">
      <c r="B10" s="6" t="s">
        <v>23</v>
      </c>
      <c r="C10" s="7" t="s">
        <v>89</v>
      </c>
      <c r="D10" s="7" t="s">
        <v>16</v>
      </c>
      <c r="E10" s="21" t="s">
        <v>90</v>
      </c>
      <c r="F10" s="8">
        <f xml:space="preserve"> 28.3+13.5+30+10.6</f>
        <v>82.399999999999991</v>
      </c>
      <c r="G10" s="7" t="s">
        <v>19</v>
      </c>
      <c r="H10" s="270" t="s">
        <v>91</v>
      </c>
      <c r="I10" s="270"/>
      <c r="J10" s="271"/>
      <c r="K10" s="130"/>
    </row>
    <row r="11" spans="2:11" ht="36" x14ac:dyDescent="0.25">
      <c r="B11" s="6" t="s">
        <v>24</v>
      </c>
      <c r="C11" s="7" t="s">
        <v>92</v>
      </c>
      <c r="D11" s="7" t="s">
        <v>16</v>
      </c>
      <c r="E11" s="21" t="s">
        <v>94</v>
      </c>
      <c r="F11" s="8">
        <f>(((13.5+15)*1)*0.2)</f>
        <v>5.7</v>
      </c>
      <c r="G11" s="7" t="s">
        <v>93</v>
      </c>
      <c r="H11" s="270" t="s">
        <v>95</v>
      </c>
      <c r="I11" s="270"/>
      <c r="J11" s="271"/>
      <c r="K11" s="130"/>
    </row>
    <row r="12" spans="2:11" ht="60" x14ac:dyDescent="0.25">
      <c r="B12" s="6" t="s">
        <v>37</v>
      </c>
      <c r="C12" s="7" t="s">
        <v>97</v>
      </c>
      <c r="D12" s="7" t="s">
        <v>16</v>
      </c>
      <c r="E12" s="21" t="s">
        <v>98</v>
      </c>
      <c r="F12" s="8">
        <f>((3.35+3.5)/2)*28.3</f>
        <v>96.927499999999995</v>
      </c>
      <c r="G12" s="7" t="s">
        <v>93</v>
      </c>
      <c r="H12" s="270" t="s">
        <v>99</v>
      </c>
      <c r="I12" s="270"/>
      <c r="J12" s="271"/>
      <c r="K12" s="130"/>
    </row>
    <row r="13" spans="2:11" x14ac:dyDescent="0.25">
      <c r="B13" s="6"/>
      <c r="C13" s="7"/>
      <c r="D13" s="7"/>
      <c r="E13" s="21"/>
      <c r="F13" s="8"/>
      <c r="G13" s="7"/>
      <c r="H13" s="166"/>
      <c r="I13" s="166"/>
      <c r="J13" s="167"/>
      <c r="K13" s="130"/>
    </row>
    <row r="14" spans="2:11" ht="36" x14ac:dyDescent="0.25">
      <c r="B14" s="6" t="s">
        <v>77</v>
      </c>
      <c r="C14" s="7" t="s">
        <v>101</v>
      </c>
      <c r="D14" s="7" t="s">
        <v>16</v>
      </c>
      <c r="E14" s="21" t="s">
        <v>103</v>
      </c>
      <c r="F14" s="8">
        <f>((3.35+3.5)/2)*28.3</f>
        <v>96.927499999999995</v>
      </c>
      <c r="G14" s="7" t="s">
        <v>102</v>
      </c>
      <c r="H14" s="270" t="s">
        <v>100</v>
      </c>
      <c r="I14" s="270"/>
      <c r="J14" s="271"/>
      <c r="K14" s="130"/>
    </row>
    <row r="15" spans="2:11" ht="24" x14ac:dyDescent="0.25">
      <c r="B15" s="6" t="s">
        <v>78</v>
      </c>
      <c r="C15" s="7" t="s">
        <v>104</v>
      </c>
      <c r="D15" s="7" t="s">
        <v>16</v>
      </c>
      <c r="E15" s="21" t="s">
        <v>105</v>
      </c>
      <c r="F15" s="8">
        <f>(3.2*2.2)+(4*2.2)</f>
        <v>15.840000000000002</v>
      </c>
      <c r="G15" s="7" t="s">
        <v>102</v>
      </c>
      <c r="H15" s="268" t="s">
        <v>106</v>
      </c>
      <c r="I15" s="268"/>
      <c r="J15" s="269"/>
      <c r="K15" s="130"/>
    </row>
    <row r="16" spans="2:11" x14ac:dyDescent="0.25">
      <c r="B16" s="6"/>
      <c r="C16" s="7"/>
      <c r="D16" s="7"/>
      <c r="E16" s="124"/>
      <c r="F16" s="8"/>
      <c r="G16" s="7"/>
      <c r="H16" s="9"/>
      <c r="I16" s="9"/>
      <c r="J16" s="14"/>
      <c r="K16" s="37"/>
    </row>
    <row r="17" spans="2:11" x14ac:dyDescent="0.25">
      <c r="B17" s="127">
        <v>2</v>
      </c>
      <c r="C17" s="7"/>
      <c r="D17" s="7"/>
      <c r="E17" s="26" t="s">
        <v>111</v>
      </c>
      <c r="F17" s="8"/>
      <c r="G17" s="7"/>
      <c r="H17" s="9"/>
      <c r="I17" s="9"/>
      <c r="J17" s="14"/>
      <c r="K17" s="37"/>
    </row>
    <row r="18" spans="2:11" x14ac:dyDescent="0.25">
      <c r="B18" s="127"/>
      <c r="C18" s="7"/>
      <c r="D18" s="7"/>
      <c r="E18" s="26"/>
      <c r="F18" s="8"/>
      <c r="G18" s="7"/>
      <c r="H18" s="168"/>
      <c r="I18" s="168"/>
      <c r="J18" s="192"/>
      <c r="K18" s="37"/>
    </row>
    <row r="19" spans="2:11" ht="36" x14ac:dyDescent="0.25">
      <c r="B19" s="6" t="s">
        <v>330</v>
      </c>
      <c r="C19" s="7" t="s">
        <v>328</v>
      </c>
      <c r="D19" s="7" t="s">
        <v>16</v>
      </c>
      <c r="E19" s="21" t="s">
        <v>331</v>
      </c>
      <c r="F19" s="8">
        <v>2480</v>
      </c>
      <c r="G19" s="7" t="s">
        <v>19</v>
      </c>
      <c r="H19" s="270" t="s">
        <v>329</v>
      </c>
      <c r="I19" s="270"/>
      <c r="J19" s="271"/>
      <c r="K19" s="37"/>
    </row>
    <row r="20" spans="2:11" ht="36" x14ac:dyDescent="0.25">
      <c r="B20" s="6" t="s">
        <v>335</v>
      </c>
      <c r="C20" s="7" t="s">
        <v>332</v>
      </c>
      <c r="D20" s="7" t="s">
        <v>16</v>
      </c>
      <c r="E20" s="21" t="s">
        <v>333</v>
      </c>
      <c r="F20" s="8">
        <v>2480</v>
      </c>
      <c r="G20" s="7" t="s">
        <v>19</v>
      </c>
      <c r="H20" s="270" t="s">
        <v>329</v>
      </c>
      <c r="I20" s="270"/>
      <c r="J20" s="271"/>
      <c r="K20" s="37"/>
    </row>
    <row r="21" spans="2:11" ht="48" x14ac:dyDescent="0.25">
      <c r="B21" s="6" t="s">
        <v>336</v>
      </c>
      <c r="C21" s="7" t="s">
        <v>334</v>
      </c>
      <c r="D21" s="7" t="s">
        <v>16</v>
      </c>
      <c r="E21" s="21" t="s">
        <v>337</v>
      </c>
      <c r="F21" s="8">
        <v>300</v>
      </c>
      <c r="G21" s="7" t="s">
        <v>19</v>
      </c>
      <c r="H21" s="270" t="s">
        <v>329</v>
      </c>
      <c r="I21" s="270"/>
      <c r="J21" s="271"/>
      <c r="K21" s="37"/>
    </row>
    <row r="22" spans="2:11" ht="48" x14ac:dyDescent="0.25">
      <c r="B22" s="6" t="s">
        <v>339</v>
      </c>
      <c r="C22" s="7" t="s">
        <v>345</v>
      </c>
      <c r="D22" s="7" t="s">
        <v>16</v>
      </c>
      <c r="E22" s="21" t="s">
        <v>344</v>
      </c>
      <c r="F22" s="8">
        <v>40</v>
      </c>
      <c r="G22" s="7" t="s">
        <v>19</v>
      </c>
      <c r="H22" s="270" t="s">
        <v>329</v>
      </c>
      <c r="I22" s="270"/>
      <c r="J22" s="271"/>
      <c r="K22" s="37"/>
    </row>
    <row r="23" spans="2:11" ht="36" x14ac:dyDescent="0.25">
      <c r="B23" s="6" t="s">
        <v>342</v>
      </c>
      <c r="C23" s="7" t="s">
        <v>338</v>
      </c>
      <c r="D23" s="7" t="s">
        <v>16</v>
      </c>
      <c r="E23" s="21" t="s">
        <v>340</v>
      </c>
      <c r="F23" s="8">
        <v>40</v>
      </c>
      <c r="G23" s="7" t="s">
        <v>19</v>
      </c>
      <c r="H23" s="270" t="s">
        <v>329</v>
      </c>
      <c r="I23" s="270"/>
      <c r="J23" s="271"/>
      <c r="K23" s="37"/>
    </row>
    <row r="24" spans="2:11" ht="36" x14ac:dyDescent="0.25">
      <c r="B24" s="6" t="s">
        <v>346</v>
      </c>
      <c r="C24" s="7" t="s">
        <v>341</v>
      </c>
      <c r="D24" s="7" t="s">
        <v>16</v>
      </c>
      <c r="E24" s="21" t="s">
        <v>343</v>
      </c>
      <c r="F24" s="8">
        <v>160</v>
      </c>
      <c r="G24" s="7" t="s">
        <v>19</v>
      </c>
      <c r="H24" s="270" t="s">
        <v>329</v>
      </c>
      <c r="I24" s="270"/>
      <c r="J24" s="271"/>
      <c r="K24" s="37"/>
    </row>
    <row r="25" spans="2:11" ht="60" x14ac:dyDescent="0.25">
      <c r="B25" s="6" t="s">
        <v>347</v>
      </c>
      <c r="C25" s="7" t="s">
        <v>350</v>
      </c>
      <c r="D25" s="7" t="s">
        <v>16</v>
      </c>
      <c r="E25" s="21" t="s">
        <v>355</v>
      </c>
      <c r="F25" s="8">
        <v>64</v>
      </c>
      <c r="G25" s="7" t="s">
        <v>425</v>
      </c>
      <c r="H25" s="270" t="s">
        <v>329</v>
      </c>
      <c r="I25" s="270"/>
      <c r="J25" s="271"/>
      <c r="K25" s="37"/>
    </row>
    <row r="26" spans="2:11" ht="72" x14ac:dyDescent="0.25">
      <c r="B26" s="6" t="s">
        <v>348</v>
      </c>
      <c r="C26" s="7" t="s">
        <v>349</v>
      </c>
      <c r="D26" s="7" t="s">
        <v>16</v>
      </c>
      <c r="E26" s="123" t="s">
        <v>354</v>
      </c>
      <c r="F26" s="8">
        <v>49</v>
      </c>
      <c r="G26" s="7" t="s">
        <v>425</v>
      </c>
      <c r="H26" s="268" t="s">
        <v>351</v>
      </c>
      <c r="I26" s="268"/>
      <c r="J26" s="269"/>
      <c r="K26" s="37"/>
    </row>
    <row r="27" spans="2:11" ht="48" x14ac:dyDescent="0.25">
      <c r="B27" s="6" t="s">
        <v>353</v>
      </c>
      <c r="C27" s="7" t="s">
        <v>352</v>
      </c>
      <c r="D27" s="7" t="s">
        <v>16</v>
      </c>
      <c r="E27" s="21" t="s">
        <v>360</v>
      </c>
      <c r="F27" s="8">
        <v>5</v>
      </c>
      <c r="G27" s="7" t="s">
        <v>425</v>
      </c>
      <c r="H27" s="268" t="s">
        <v>358</v>
      </c>
      <c r="I27" s="268"/>
      <c r="J27" s="269"/>
      <c r="K27" s="37"/>
    </row>
    <row r="28" spans="2:11" ht="60" x14ac:dyDescent="0.25">
      <c r="B28" s="6" t="s">
        <v>361</v>
      </c>
      <c r="C28" s="7" t="s">
        <v>356</v>
      </c>
      <c r="D28" s="7" t="s">
        <v>16</v>
      </c>
      <c r="E28" s="21" t="s">
        <v>359</v>
      </c>
      <c r="F28" s="8">
        <v>17</v>
      </c>
      <c r="G28" s="7" t="s">
        <v>425</v>
      </c>
      <c r="H28" s="270" t="s">
        <v>357</v>
      </c>
      <c r="I28" s="270"/>
      <c r="J28" s="271"/>
      <c r="K28" s="37"/>
    </row>
    <row r="29" spans="2:11" ht="24" x14ac:dyDescent="0.25">
      <c r="B29" s="6" t="s">
        <v>362</v>
      </c>
      <c r="C29" s="7" t="s">
        <v>366</v>
      </c>
      <c r="D29" s="7" t="s">
        <v>16</v>
      </c>
      <c r="E29" s="21" t="s">
        <v>365</v>
      </c>
      <c r="F29" s="8">
        <v>13</v>
      </c>
      <c r="G29" s="7" t="s">
        <v>425</v>
      </c>
      <c r="H29" s="270" t="s">
        <v>368</v>
      </c>
      <c r="I29" s="270"/>
      <c r="J29" s="271"/>
      <c r="K29" s="37"/>
    </row>
    <row r="30" spans="2:11" ht="36" x14ac:dyDescent="0.25">
      <c r="B30" s="6" t="s">
        <v>367</v>
      </c>
      <c r="C30" s="7" t="s">
        <v>363</v>
      </c>
      <c r="D30" s="7" t="s">
        <v>16</v>
      </c>
      <c r="E30" s="21" t="s">
        <v>364</v>
      </c>
      <c r="F30" s="8">
        <v>20</v>
      </c>
      <c r="G30" s="7" t="s">
        <v>425</v>
      </c>
      <c r="H30" s="270" t="s">
        <v>329</v>
      </c>
      <c r="I30" s="270"/>
      <c r="J30" s="271"/>
      <c r="K30" s="37"/>
    </row>
    <row r="31" spans="2:11" ht="24" x14ac:dyDescent="0.25">
      <c r="B31" s="6" t="s">
        <v>370</v>
      </c>
      <c r="C31" s="7" t="s">
        <v>369</v>
      </c>
      <c r="D31" s="7" t="s">
        <v>16</v>
      </c>
      <c r="E31" s="21" t="s">
        <v>377</v>
      </c>
      <c r="F31" s="8">
        <v>3</v>
      </c>
      <c r="G31" s="7" t="s">
        <v>425</v>
      </c>
      <c r="H31" s="270" t="s">
        <v>329</v>
      </c>
      <c r="I31" s="270"/>
      <c r="J31" s="271"/>
      <c r="K31" s="37"/>
    </row>
    <row r="32" spans="2:11" ht="24" x14ac:dyDescent="0.25">
      <c r="B32" s="6" t="s">
        <v>372</v>
      </c>
      <c r="C32" s="7" t="s">
        <v>371</v>
      </c>
      <c r="D32" s="7" t="s">
        <v>16</v>
      </c>
      <c r="E32" s="21" t="s">
        <v>376</v>
      </c>
      <c r="F32" s="8">
        <v>1</v>
      </c>
      <c r="G32" s="7" t="s">
        <v>425</v>
      </c>
      <c r="H32" s="270" t="s">
        <v>329</v>
      </c>
      <c r="I32" s="270"/>
      <c r="J32" s="271"/>
      <c r="K32" s="37"/>
    </row>
    <row r="33" spans="2:11" ht="48" x14ac:dyDescent="0.25">
      <c r="B33" s="6" t="s">
        <v>374</v>
      </c>
      <c r="C33" s="7" t="s">
        <v>373</v>
      </c>
      <c r="D33" s="7" t="s">
        <v>16</v>
      </c>
      <c r="E33" s="123" t="s">
        <v>375</v>
      </c>
      <c r="F33" s="8">
        <v>1</v>
      </c>
      <c r="G33" s="7" t="s">
        <v>425</v>
      </c>
      <c r="H33" s="270" t="s">
        <v>329</v>
      </c>
      <c r="I33" s="270"/>
      <c r="J33" s="271"/>
      <c r="K33" s="37"/>
    </row>
    <row r="34" spans="2:11" ht="24" x14ac:dyDescent="0.25">
      <c r="B34" s="6" t="s">
        <v>379</v>
      </c>
      <c r="C34" s="7" t="s">
        <v>378</v>
      </c>
      <c r="D34" s="7" t="s">
        <v>16</v>
      </c>
      <c r="E34" s="21" t="s">
        <v>380</v>
      </c>
      <c r="F34" s="8">
        <v>1</v>
      </c>
      <c r="G34" s="7" t="s">
        <v>425</v>
      </c>
      <c r="H34" s="270" t="s">
        <v>329</v>
      </c>
      <c r="I34" s="270"/>
      <c r="J34" s="271"/>
      <c r="K34" s="37"/>
    </row>
    <row r="35" spans="2:11" ht="60" x14ac:dyDescent="0.25">
      <c r="B35" s="6" t="s">
        <v>382</v>
      </c>
      <c r="C35" s="7" t="s">
        <v>381</v>
      </c>
      <c r="D35" s="7" t="s">
        <v>16</v>
      </c>
      <c r="E35" s="21" t="s">
        <v>383</v>
      </c>
      <c r="F35" s="8">
        <v>49</v>
      </c>
      <c r="G35" s="7" t="s">
        <v>425</v>
      </c>
      <c r="H35" s="270" t="s">
        <v>329</v>
      </c>
      <c r="I35" s="270"/>
      <c r="J35" s="271"/>
      <c r="K35" s="37"/>
    </row>
    <row r="36" spans="2:11" ht="48" x14ac:dyDescent="0.25">
      <c r="B36" s="6" t="s">
        <v>384</v>
      </c>
      <c r="C36" s="7">
        <v>97607</v>
      </c>
      <c r="D36" s="7" t="s">
        <v>14</v>
      </c>
      <c r="E36" s="21" t="s">
        <v>386</v>
      </c>
      <c r="F36" s="8">
        <v>20</v>
      </c>
      <c r="G36" s="7" t="s">
        <v>425</v>
      </c>
      <c r="H36" s="270" t="s">
        <v>385</v>
      </c>
      <c r="I36" s="270"/>
      <c r="J36" s="271"/>
      <c r="K36" s="37"/>
    </row>
    <row r="37" spans="2:11" x14ac:dyDescent="0.25">
      <c r="B37" s="6"/>
      <c r="C37" s="7"/>
      <c r="D37" s="7"/>
      <c r="E37" s="21"/>
      <c r="F37" s="8"/>
      <c r="G37" s="7"/>
      <c r="H37" s="268"/>
      <c r="I37" s="268"/>
      <c r="J37" s="269"/>
      <c r="K37" s="37"/>
    </row>
    <row r="38" spans="2:11" x14ac:dyDescent="0.25">
      <c r="B38" s="127">
        <v>3</v>
      </c>
      <c r="C38" s="7"/>
      <c r="D38" s="7"/>
      <c r="E38" s="26" t="s">
        <v>387</v>
      </c>
      <c r="F38" s="8"/>
      <c r="G38" s="7"/>
      <c r="H38" s="9"/>
      <c r="I38" s="9"/>
      <c r="J38" s="14"/>
      <c r="K38" s="37"/>
    </row>
    <row r="39" spans="2:11" x14ac:dyDescent="0.25">
      <c r="B39" s="127"/>
      <c r="C39" s="7"/>
      <c r="D39" s="7"/>
      <c r="E39" s="26"/>
      <c r="F39" s="8"/>
      <c r="G39" s="7"/>
      <c r="H39" s="9"/>
      <c r="I39" s="9"/>
      <c r="J39" s="14"/>
      <c r="K39" s="37"/>
    </row>
    <row r="40" spans="2:11" ht="36" x14ac:dyDescent="0.25">
      <c r="B40" s="6" t="s">
        <v>25</v>
      </c>
      <c r="C40" s="7" t="s">
        <v>388</v>
      </c>
      <c r="D40" s="7" t="s">
        <v>16</v>
      </c>
      <c r="E40" s="123" t="s">
        <v>389</v>
      </c>
      <c r="F40" s="8">
        <v>952</v>
      </c>
      <c r="G40" s="7" t="s">
        <v>19</v>
      </c>
      <c r="H40" s="270" t="s">
        <v>329</v>
      </c>
      <c r="I40" s="270"/>
      <c r="J40" s="271"/>
      <c r="K40" s="37"/>
    </row>
    <row r="41" spans="2:11" ht="32.25" customHeight="1" x14ac:dyDescent="0.25">
      <c r="B41" s="6" t="s">
        <v>26</v>
      </c>
      <c r="C41" s="7" t="s">
        <v>390</v>
      </c>
      <c r="D41" s="7" t="s">
        <v>16</v>
      </c>
      <c r="E41" s="123" t="s">
        <v>391</v>
      </c>
      <c r="F41" s="8">
        <v>2</v>
      </c>
      <c r="G41" s="7" t="s">
        <v>425</v>
      </c>
      <c r="H41" s="270" t="s">
        <v>329</v>
      </c>
      <c r="I41" s="270"/>
      <c r="J41" s="271"/>
      <c r="K41" s="37"/>
    </row>
    <row r="42" spans="2:11" ht="60" x14ac:dyDescent="0.25">
      <c r="B42" s="6" t="s">
        <v>393</v>
      </c>
      <c r="C42" s="7" t="s">
        <v>392</v>
      </c>
      <c r="D42" s="7" t="s">
        <v>16</v>
      </c>
      <c r="E42" s="21" t="s">
        <v>398</v>
      </c>
      <c r="F42" s="8">
        <v>1</v>
      </c>
      <c r="G42" s="7" t="s">
        <v>425</v>
      </c>
      <c r="H42" s="270" t="s">
        <v>329</v>
      </c>
      <c r="I42" s="270"/>
      <c r="J42" s="271"/>
      <c r="K42" s="37"/>
    </row>
    <row r="43" spans="2:11" ht="48" x14ac:dyDescent="0.25">
      <c r="B43" s="6" t="s">
        <v>394</v>
      </c>
      <c r="C43" s="7" t="s">
        <v>399</v>
      </c>
      <c r="D43" s="7" t="s">
        <v>16</v>
      </c>
      <c r="E43" s="21" t="s">
        <v>401</v>
      </c>
      <c r="F43" s="8">
        <v>38</v>
      </c>
      <c r="G43" s="7" t="s">
        <v>425</v>
      </c>
      <c r="H43" s="270" t="s">
        <v>329</v>
      </c>
      <c r="I43" s="270"/>
      <c r="J43" s="271"/>
      <c r="K43" s="37"/>
    </row>
    <row r="44" spans="2:11" ht="48" x14ac:dyDescent="0.25">
      <c r="B44" s="6" t="s">
        <v>395</v>
      </c>
      <c r="C44" s="7" t="s">
        <v>400</v>
      </c>
      <c r="D44" s="7" t="s">
        <v>16</v>
      </c>
      <c r="E44" s="21" t="s">
        <v>402</v>
      </c>
      <c r="F44" s="8">
        <v>38</v>
      </c>
      <c r="G44" s="7" t="s">
        <v>425</v>
      </c>
      <c r="H44" s="270" t="s">
        <v>329</v>
      </c>
      <c r="I44" s="270"/>
      <c r="J44" s="271"/>
      <c r="K44" s="37"/>
    </row>
    <row r="45" spans="2:11" ht="84" x14ac:dyDescent="0.25">
      <c r="B45" s="6" t="s">
        <v>396</v>
      </c>
      <c r="C45" s="7"/>
      <c r="D45" s="7"/>
      <c r="E45" s="21" t="s">
        <v>405</v>
      </c>
      <c r="F45" s="8">
        <v>1</v>
      </c>
      <c r="G45" s="7" t="s">
        <v>425</v>
      </c>
      <c r="H45" s="270" t="s">
        <v>329</v>
      </c>
      <c r="I45" s="270"/>
      <c r="J45" s="271"/>
      <c r="K45" s="37"/>
    </row>
    <row r="46" spans="2:11" ht="24" x14ac:dyDescent="0.25">
      <c r="B46" s="6" t="s">
        <v>397</v>
      </c>
      <c r="C46" s="7"/>
      <c r="D46" s="7"/>
      <c r="E46" s="21" t="s">
        <v>404</v>
      </c>
      <c r="F46" s="8">
        <v>1</v>
      </c>
      <c r="G46" s="7" t="s">
        <v>425</v>
      </c>
      <c r="H46" s="270" t="s">
        <v>329</v>
      </c>
      <c r="I46" s="270"/>
      <c r="J46" s="271"/>
      <c r="K46" s="37"/>
    </row>
    <row r="47" spans="2:11" x14ac:dyDescent="0.25">
      <c r="B47" s="6"/>
      <c r="C47" s="7"/>
      <c r="D47" s="7"/>
      <c r="E47" s="124"/>
      <c r="F47" s="8"/>
      <c r="G47" s="7"/>
      <c r="H47" s="9"/>
      <c r="I47" s="9"/>
      <c r="J47" s="14"/>
      <c r="K47" s="37"/>
    </row>
    <row r="48" spans="2:11" x14ac:dyDescent="0.25">
      <c r="B48" s="127">
        <v>4</v>
      </c>
      <c r="C48" s="7"/>
      <c r="D48" s="7"/>
      <c r="E48" s="139" t="s">
        <v>112</v>
      </c>
      <c r="F48" s="8"/>
      <c r="G48" s="7"/>
      <c r="H48" s="9"/>
      <c r="I48" s="9"/>
      <c r="J48" s="14"/>
      <c r="K48" s="37"/>
    </row>
    <row r="49" spans="2:11" x14ac:dyDescent="0.25">
      <c r="B49" s="6"/>
      <c r="C49" s="7"/>
      <c r="D49" s="7"/>
      <c r="E49" s="137"/>
      <c r="F49" s="8"/>
      <c r="G49" s="7"/>
      <c r="H49" s="9"/>
      <c r="I49" s="9"/>
      <c r="J49" s="14"/>
      <c r="K49" s="37"/>
    </row>
    <row r="50" spans="2:11" ht="24" x14ac:dyDescent="0.25">
      <c r="B50" s="6" t="s">
        <v>79</v>
      </c>
      <c r="C50" s="7" t="s">
        <v>138</v>
      </c>
      <c r="D50" s="7" t="s">
        <v>16</v>
      </c>
      <c r="E50" s="20" t="s">
        <v>140</v>
      </c>
      <c r="F50" s="8">
        <v>3</v>
      </c>
      <c r="G50" s="7" t="s">
        <v>425</v>
      </c>
      <c r="H50" s="268" t="s">
        <v>123</v>
      </c>
      <c r="I50" s="268"/>
      <c r="J50" s="269"/>
      <c r="K50" s="37"/>
    </row>
    <row r="51" spans="2:11" ht="24" x14ac:dyDescent="0.25">
      <c r="B51" s="6" t="s">
        <v>80</v>
      </c>
      <c r="C51" s="7" t="s">
        <v>139</v>
      </c>
      <c r="D51" s="7" t="s">
        <v>16</v>
      </c>
      <c r="E51" s="20" t="s">
        <v>141</v>
      </c>
      <c r="F51" s="8">
        <f>12+9+2+2+1</f>
        <v>26</v>
      </c>
      <c r="G51" s="7" t="s">
        <v>425</v>
      </c>
      <c r="H51" s="268" t="s">
        <v>124</v>
      </c>
      <c r="I51" s="268"/>
      <c r="J51" s="269"/>
      <c r="K51" s="37"/>
    </row>
    <row r="52" spans="2:11" ht="36" x14ac:dyDescent="0.25">
      <c r="B52" s="6" t="s">
        <v>81</v>
      </c>
      <c r="C52" s="7" t="s">
        <v>142</v>
      </c>
      <c r="D52" s="7" t="s">
        <v>16</v>
      </c>
      <c r="E52" s="20" t="s">
        <v>143</v>
      </c>
      <c r="F52" s="8">
        <f>29*3</f>
        <v>87</v>
      </c>
      <c r="G52" s="7" t="s">
        <v>425</v>
      </c>
      <c r="H52" s="268" t="s">
        <v>144</v>
      </c>
      <c r="I52" s="268"/>
      <c r="J52" s="269"/>
      <c r="K52" s="37"/>
    </row>
    <row r="53" spans="2:11" ht="60" x14ac:dyDescent="0.25">
      <c r="B53" s="6" t="s">
        <v>82</v>
      </c>
      <c r="C53" s="7" t="s">
        <v>145</v>
      </c>
      <c r="D53" s="7" t="s">
        <v>16</v>
      </c>
      <c r="E53" s="20" t="s">
        <v>146</v>
      </c>
      <c r="F53" s="8">
        <v>29</v>
      </c>
      <c r="G53" s="7" t="s">
        <v>425</v>
      </c>
      <c r="H53" s="268" t="s">
        <v>147</v>
      </c>
      <c r="I53" s="268"/>
      <c r="J53" s="269"/>
      <c r="K53" s="37"/>
    </row>
    <row r="54" spans="2:11" ht="24" x14ac:dyDescent="0.25">
      <c r="B54" s="6" t="s">
        <v>27</v>
      </c>
      <c r="C54" s="7" t="s">
        <v>148</v>
      </c>
      <c r="D54" s="7" t="s">
        <v>16</v>
      </c>
      <c r="E54" s="20" t="s">
        <v>152</v>
      </c>
      <c r="F54" s="8">
        <v>29</v>
      </c>
      <c r="G54" s="7" t="s">
        <v>149</v>
      </c>
      <c r="H54" s="268" t="s">
        <v>147</v>
      </c>
      <c r="I54" s="268"/>
      <c r="J54" s="269"/>
      <c r="K54" s="37"/>
    </row>
    <row r="55" spans="2:11" ht="36" x14ac:dyDescent="0.25">
      <c r="B55" s="6" t="s">
        <v>28</v>
      </c>
      <c r="C55" s="7"/>
      <c r="D55" s="152"/>
      <c r="E55" s="123" t="s">
        <v>154</v>
      </c>
      <c r="F55" s="8">
        <f>4*(0.8*1.6)+4*(0.6*1.6)+2*(0.8*1.6)</f>
        <v>11.520000000000001</v>
      </c>
      <c r="G55" s="7" t="s">
        <v>102</v>
      </c>
      <c r="H55" s="268" t="s">
        <v>151</v>
      </c>
      <c r="I55" s="268"/>
      <c r="J55" s="269"/>
      <c r="K55" s="37"/>
    </row>
    <row r="56" spans="2:11" ht="36" x14ac:dyDescent="0.25">
      <c r="B56" s="6" t="s">
        <v>29</v>
      </c>
      <c r="C56" s="7"/>
      <c r="D56" s="152"/>
      <c r="E56" s="123" t="s">
        <v>153</v>
      </c>
      <c r="F56" s="8">
        <f>1.65*2.1</f>
        <v>3.4649999999999999</v>
      </c>
      <c r="G56" s="7" t="s">
        <v>102</v>
      </c>
      <c r="H56" s="268" t="s">
        <v>150</v>
      </c>
      <c r="I56" s="268"/>
      <c r="J56" s="269"/>
      <c r="K56" s="37"/>
    </row>
    <row r="57" spans="2:11" ht="36" x14ac:dyDescent="0.25">
      <c r="B57" s="6" t="s">
        <v>83</v>
      </c>
      <c r="C57" s="7"/>
      <c r="D57" s="152"/>
      <c r="E57" s="123" t="s">
        <v>155</v>
      </c>
      <c r="F57" s="8">
        <f>2*2.1+1.6*2.1</f>
        <v>7.5600000000000005</v>
      </c>
      <c r="G57" s="7" t="s">
        <v>93</v>
      </c>
      <c r="H57" s="268" t="s">
        <v>156</v>
      </c>
      <c r="I57" s="268"/>
      <c r="J57" s="269"/>
      <c r="K57" s="37"/>
    </row>
    <row r="58" spans="2:11" ht="48" x14ac:dyDescent="0.25">
      <c r="B58" s="6" t="s">
        <v>84</v>
      </c>
      <c r="C58" s="7"/>
      <c r="D58" s="152"/>
      <c r="E58" s="123" t="s">
        <v>158</v>
      </c>
      <c r="F58" s="8">
        <f>4*(2.5*1.5)+8*(1.8*1.5)+2*(2*1.5)+(1.6*1.5)+4*(3*1)</f>
        <v>57</v>
      </c>
      <c r="G58" s="7" t="s">
        <v>102</v>
      </c>
      <c r="H58" s="268" t="s">
        <v>157</v>
      </c>
      <c r="I58" s="268"/>
      <c r="J58" s="269"/>
      <c r="K58" s="37"/>
    </row>
    <row r="59" spans="2:11" ht="36" x14ac:dyDescent="0.25">
      <c r="B59" s="6" t="s">
        <v>30</v>
      </c>
      <c r="C59" s="7"/>
      <c r="D59" s="152"/>
      <c r="E59" s="123" t="s">
        <v>159</v>
      </c>
      <c r="F59" s="8">
        <f>2*(1.2*0.5)+(2.5*0.5)+2*(1.15*0.5)+(0.5*0.5)+2*(2.5*0.5)</f>
        <v>6.35</v>
      </c>
      <c r="G59" s="7" t="s">
        <v>102</v>
      </c>
      <c r="H59" s="268" t="s">
        <v>160</v>
      </c>
      <c r="I59" s="268"/>
      <c r="J59" s="269"/>
      <c r="K59" s="37"/>
    </row>
    <row r="60" spans="2:11" ht="36" x14ac:dyDescent="0.25">
      <c r="B60" s="6"/>
      <c r="C60" s="7"/>
      <c r="D60" s="152"/>
      <c r="E60" s="123" t="s">
        <v>155</v>
      </c>
      <c r="F60" s="8">
        <f>2*2.1+1.6*2.1</f>
        <v>7.5600000000000005</v>
      </c>
      <c r="G60" s="7" t="s">
        <v>93</v>
      </c>
      <c r="H60" s="268" t="s">
        <v>156</v>
      </c>
      <c r="I60" s="268"/>
      <c r="J60" s="269"/>
      <c r="K60" s="37"/>
    </row>
    <row r="61" spans="2:11" x14ac:dyDescent="0.25">
      <c r="B61" s="6"/>
      <c r="C61" s="7"/>
      <c r="D61" s="7"/>
      <c r="E61" s="137"/>
      <c r="F61" s="8"/>
      <c r="G61" s="7"/>
      <c r="H61" s="9"/>
      <c r="I61" s="9"/>
      <c r="J61" s="14"/>
      <c r="K61" s="37"/>
    </row>
    <row r="62" spans="2:11" x14ac:dyDescent="0.25">
      <c r="B62" s="127">
        <v>5</v>
      </c>
      <c r="C62" s="7"/>
      <c r="D62" s="7"/>
      <c r="E62" s="134" t="s">
        <v>113</v>
      </c>
      <c r="F62" s="8"/>
      <c r="G62" s="7"/>
      <c r="H62" s="9"/>
      <c r="I62" s="9"/>
      <c r="J62" s="14"/>
      <c r="K62" s="37"/>
    </row>
    <row r="63" spans="2:11" x14ac:dyDescent="0.25">
      <c r="B63" s="127" t="s">
        <v>31</v>
      </c>
      <c r="C63" s="7"/>
      <c r="D63" s="7"/>
      <c r="E63" s="133" t="s">
        <v>114</v>
      </c>
      <c r="F63" s="8"/>
      <c r="G63" s="7"/>
      <c r="H63" s="9"/>
      <c r="I63" s="9"/>
      <c r="J63" s="14"/>
      <c r="K63" s="37"/>
    </row>
    <row r="64" spans="2:11" ht="84" x14ac:dyDescent="0.25">
      <c r="B64" s="6" t="s">
        <v>161</v>
      </c>
      <c r="C64" s="7"/>
      <c r="D64" s="7"/>
      <c r="E64" s="123" t="s">
        <v>163</v>
      </c>
      <c r="F64" s="8">
        <f>((3.04+3.04+2+2)*2.7) + (((2.2+2.2+1.6+1.6)*2)*3.6)+ (((2.87+3.8+3.3+3.8)*2)*3.6)+(1.75+1.3+1.75+1.3)*3.6+ (5.28)*3.6-36.79</f>
        <v>185.25800000000004</v>
      </c>
      <c r="G64" s="7" t="s">
        <v>102</v>
      </c>
      <c r="H64" s="267" t="s">
        <v>166</v>
      </c>
      <c r="I64" s="268"/>
      <c r="J64" s="269"/>
      <c r="K64" s="37"/>
    </row>
    <row r="65" spans="2:11" ht="90" x14ac:dyDescent="0.25">
      <c r="B65" s="6" t="s">
        <v>162</v>
      </c>
      <c r="C65" s="7"/>
      <c r="D65" s="7"/>
      <c r="E65" s="141" t="s">
        <v>164</v>
      </c>
      <c r="F65" s="8">
        <f xml:space="preserve"> (1.1+1.1)*2.7+((0.8+0.8)*3.6)+((3.3+2.87)*3.6)+(0.8*3.6)</f>
        <v>36.792000000000009</v>
      </c>
      <c r="G65" s="7" t="s">
        <v>102</v>
      </c>
      <c r="H65" s="267" t="s">
        <v>165</v>
      </c>
      <c r="I65" s="268"/>
      <c r="J65" s="269"/>
      <c r="K65" s="37"/>
    </row>
    <row r="66" spans="2:11" x14ac:dyDescent="0.25">
      <c r="B66" s="127" t="s">
        <v>32</v>
      </c>
      <c r="C66" s="7"/>
      <c r="D66" s="7"/>
      <c r="E66" s="162" t="s">
        <v>215</v>
      </c>
      <c r="F66" s="8"/>
      <c r="G66" s="7"/>
      <c r="H66" s="165"/>
      <c r="I66" s="163"/>
      <c r="J66" s="164"/>
      <c r="K66" s="37"/>
    </row>
    <row r="67" spans="2:11" ht="45" x14ac:dyDescent="0.25">
      <c r="B67" s="6" t="s">
        <v>186</v>
      </c>
      <c r="C67" s="7"/>
      <c r="D67" s="7"/>
      <c r="E67" s="141" t="s">
        <v>220</v>
      </c>
      <c r="F67" s="8">
        <f>18*1.1</f>
        <v>19.8</v>
      </c>
      <c r="G67" s="7" t="s">
        <v>19</v>
      </c>
      <c r="H67" s="267" t="s">
        <v>217</v>
      </c>
      <c r="I67" s="268"/>
      <c r="J67" s="269"/>
      <c r="K67" s="37"/>
    </row>
    <row r="68" spans="2:11" ht="45" x14ac:dyDescent="0.25">
      <c r="B68" s="6" t="s">
        <v>187</v>
      </c>
      <c r="C68" s="7"/>
      <c r="D68" s="7"/>
      <c r="E68" s="141" t="s">
        <v>221</v>
      </c>
      <c r="F68" s="8">
        <f>19*1.1</f>
        <v>20.900000000000002</v>
      </c>
      <c r="G68" s="7" t="s">
        <v>19</v>
      </c>
      <c r="H68" s="267" t="s">
        <v>218</v>
      </c>
      <c r="I68" s="268"/>
      <c r="J68" s="269"/>
      <c r="K68" s="37"/>
    </row>
    <row r="69" spans="2:11" ht="45" x14ac:dyDescent="0.25">
      <c r="B69" s="6" t="s">
        <v>188</v>
      </c>
      <c r="C69" s="7"/>
      <c r="D69" s="7"/>
      <c r="E69" s="141" t="s">
        <v>222</v>
      </c>
      <c r="F69" s="8">
        <f>1.18*1.1</f>
        <v>1.298</v>
      </c>
      <c r="G69" s="7" t="s">
        <v>102</v>
      </c>
      <c r="H69" s="267" t="s">
        <v>216</v>
      </c>
      <c r="I69" s="268"/>
      <c r="J69" s="269"/>
      <c r="K69" s="37"/>
    </row>
    <row r="70" spans="2:11" ht="60" x14ac:dyDescent="0.25">
      <c r="B70" s="6" t="s">
        <v>189</v>
      </c>
      <c r="C70" s="7"/>
      <c r="D70" s="7"/>
      <c r="E70" s="140" t="s">
        <v>223</v>
      </c>
      <c r="F70" s="8">
        <f>((0.28*18)+(0.18*19))*2+1.18+1.1</f>
        <v>19.200000000000003</v>
      </c>
      <c r="G70" s="7" t="s">
        <v>19</v>
      </c>
      <c r="H70" s="267" t="s">
        <v>219</v>
      </c>
      <c r="I70" s="268"/>
      <c r="J70" s="269"/>
      <c r="K70" s="37"/>
    </row>
    <row r="71" spans="2:11" x14ac:dyDescent="0.25">
      <c r="B71" s="127" t="s">
        <v>33</v>
      </c>
      <c r="C71" s="7"/>
      <c r="D71" s="7"/>
      <c r="E71" s="26" t="s">
        <v>115</v>
      </c>
      <c r="F71" s="8"/>
      <c r="G71" s="7"/>
      <c r="H71" s="9"/>
      <c r="I71" s="9"/>
      <c r="J71" s="14"/>
      <c r="K71" s="37"/>
    </row>
    <row r="72" spans="2:11" ht="210" customHeight="1" x14ac:dyDescent="0.25">
      <c r="B72" s="6" t="s">
        <v>117</v>
      </c>
      <c r="C72" s="7"/>
      <c r="D72" s="7"/>
      <c r="E72" s="141" t="s">
        <v>168</v>
      </c>
      <c r="F72" s="153">
        <f>38.96+17.41+143.13+9.49+10.78+12.51+20.52+2.27+9.97+9.97+9.61+9.61+9.75+9.68+9.79+9.79+82.07+3.76+3.76+4.19+15.22+24.37+8.12+28.89+25.55+10.08+24.79+9.61+24.75+9.6+25.28+9.98+6.76+8.07+6.1+6.07</f>
        <v>670.26000000000022</v>
      </c>
      <c r="G72" s="7" t="s">
        <v>102</v>
      </c>
      <c r="H72" s="264" t="s">
        <v>174</v>
      </c>
      <c r="I72" s="265"/>
      <c r="J72" s="266"/>
      <c r="K72" s="37"/>
    </row>
    <row r="73" spans="2:11" ht="146.25" customHeight="1" x14ac:dyDescent="0.25">
      <c r="B73" s="6" t="s">
        <v>118</v>
      </c>
      <c r="C73" s="7"/>
      <c r="D73" s="7"/>
      <c r="E73" s="123" t="s">
        <v>213</v>
      </c>
      <c r="F73" s="154">
        <f>12.46+ 18.43+ 54.36+ 13+18.4+  12.54+ 12.54+12.34+12.34+ 12.38+12.44+12.46+12.46+76.69+ 15.22+ 15.71+ 2.7+ 20.2+ 14.98+ 19.86+14.63+ 14.84+ 14.61+20.08+ 14.68+10.52+11.52</f>
        <v>482.39</v>
      </c>
      <c r="G73" s="7" t="s">
        <v>19</v>
      </c>
      <c r="H73" s="264" t="s">
        <v>167</v>
      </c>
      <c r="I73" s="265"/>
      <c r="J73" s="266"/>
      <c r="K73" s="37"/>
    </row>
    <row r="74" spans="2:11" ht="168.75" customHeight="1" x14ac:dyDescent="0.25">
      <c r="B74" s="6" t="s">
        <v>224</v>
      </c>
      <c r="C74" s="7"/>
      <c r="D74" s="7"/>
      <c r="E74" s="21" t="s">
        <v>211</v>
      </c>
      <c r="F74" s="8">
        <f>((2.7+3.65)*0.25)+2+((1.65+1.9)*0.2)+((0.93+0.9+0.9+0.8+0.8+(8*0.8)+0.8+0.8+2.15+1.8+0.8+0.8+0.8+0.8+1.18+0.8+0.8+0.8+0.8+0.8+0.8+0.8+0.8+0.8+0.8+0.8+0.8+0.8+0.8)*0.15)+23.3*0.2</f>
        <v>13.736500000000001</v>
      </c>
      <c r="G74" s="7" t="s">
        <v>102</v>
      </c>
      <c r="H74" s="264" t="s">
        <v>171</v>
      </c>
      <c r="I74" s="265"/>
      <c r="J74" s="266"/>
      <c r="K74" s="37"/>
    </row>
    <row r="75" spans="2:11" x14ac:dyDescent="0.25">
      <c r="B75" s="6" t="s">
        <v>225</v>
      </c>
      <c r="C75" s="7"/>
      <c r="D75" s="7"/>
      <c r="E75" s="21" t="s">
        <v>212</v>
      </c>
      <c r="F75" s="8">
        <f>(1.85+1.75)*0.2+((4*3)*0.25)+(2.5+2.5+2.5+0.5+1.8+1.8+1.8+1.8+1.8+1.8+1.8+1.8+1.15+1.15+1.6+2+2.5+2.5+2.5+2.5+2.5+1.2+1.2)*0.2</f>
        <v>12.360000000000003</v>
      </c>
      <c r="G75" s="7" t="s">
        <v>102</v>
      </c>
      <c r="H75" s="264" t="s">
        <v>170</v>
      </c>
      <c r="I75" s="265"/>
      <c r="J75" s="266"/>
      <c r="K75" s="37"/>
    </row>
    <row r="76" spans="2:11" ht="36" x14ac:dyDescent="0.25">
      <c r="B76" s="6" t="s">
        <v>226</v>
      </c>
      <c r="C76" s="7" t="s">
        <v>172</v>
      </c>
      <c r="D76" s="7" t="s">
        <v>16</v>
      </c>
      <c r="E76" s="20" t="s">
        <v>173</v>
      </c>
      <c r="F76" s="153">
        <f>38.96+17.41+156.61+9.49+10.78+12.51+20.52+2.27+9.97+9.97+9.61+9.61+9.75+9.68+9.79+9.79+82.07+3.76+3.76+4.19+15.22+24.37+8.12+28.89+25.55+10.08+24.79+9.61+24.75+9.6+25.28+9.98+6.76+8.07+6.1+6.07+8.12</f>
        <v>691.86000000000024</v>
      </c>
      <c r="G76" s="7" t="s">
        <v>102</v>
      </c>
      <c r="H76" s="264" t="s">
        <v>178</v>
      </c>
      <c r="I76" s="265"/>
      <c r="J76" s="266"/>
      <c r="K76" s="37"/>
    </row>
    <row r="77" spans="2:11" ht="24" x14ac:dyDescent="0.25">
      <c r="B77" s="6" t="s">
        <v>227</v>
      </c>
      <c r="C77" s="7" t="s">
        <v>175</v>
      </c>
      <c r="D77" s="7" t="s">
        <v>16</v>
      </c>
      <c r="E77" s="21" t="s">
        <v>176</v>
      </c>
      <c r="F77" s="8">
        <f>(43.1+29.7)*1.5</f>
        <v>109.19999999999999</v>
      </c>
      <c r="G77" s="7" t="s">
        <v>102</v>
      </c>
      <c r="H77" s="264" t="s">
        <v>177</v>
      </c>
      <c r="I77" s="265"/>
      <c r="J77" s="266"/>
      <c r="K77" s="37"/>
    </row>
    <row r="78" spans="2:11" ht="48" x14ac:dyDescent="0.25">
      <c r="B78" s="6" t="s">
        <v>228</v>
      </c>
      <c r="C78" s="7" t="s">
        <v>412</v>
      </c>
      <c r="D78" s="7" t="s">
        <v>16</v>
      </c>
      <c r="E78" s="21" t="s">
        <v>414</v>
      </c>
      <c r="F78" s="8">
        <v>2</v>
      </c>
      <c r="G78" s="7" t="s">
        <v>425</v>
      </c>
      <c r="H78" s="264" t="s">
        <v>415</v>
      </c>
      <c r="I78" s="265"/>
      <c r="J78" s="266"/>
      <c r="K78" s="37"/>
    </row>
    <row r="79" spans="2:11" ht="48" x14ac:dyDescent="0.25">
      <c r="B79" s="6" t="s">
        <v>244</v>
      </c>
      <c r="C79" s="7" t="s">
        <v>241</v>
      </c>
      <c r="D79" s="7" t="s">
        <v>16</v>
      </c>
      <c r="E79" s="21" t="s">
        <v>243</v>
      </c>
      <c r="F79" s="8">
        <f>(43.1+29.7)*1.5</f>
        <v>109.19999999999999</v>
      </c>
      <c r="G79" s="7" t="s">
        <v>102</v>
      </c>
      <c r="H79" s="264" t="s">
        <v>242</v>
      </c>
      <c r="I79" s="265"/>
      <c r="J79" s="266"/>
      <c r="K79" s="37"/>
    </row>
    <row r="80" spans="2:11" ht="36" x14ac:dyDescent="0.25">
      <c r="B80" s="6" t="s">
        <v>413</v>
      </c>
      <c r="C80" s="7">
        <v>101727</v>
      </c>
      <c r="D80" s="7" t="s">
        <v>179</v>
      </c>
      <c r="E80" s="21" t="s">
        <v>181</v>
      </c>
      <c r="F80" s="8">
        <v>156.61000000000001</v>
      </c>
      <c r="G80" s="7" t="s">
        <v>102</v>
      </c>
      <c r="H80" s="264" t="s">
        <v>180</v>
      </c>
      <c r="I80" s="265"/>
      <c r="J80" s="266"/>
      <c r="K80" s="37"/>
    </row>
    <row r="81" spans="2:19" x14ac:dyDescent="0.25">
      <c r="B81" s="6"/>
      <c r="C81" s="7"/>
      <c r="D81" s="7"/>
      <c r="E81" s="19"/>
      <c r="F81" s="8"/>
      <c r="G81" s="7"/>
      <c r="H81" s="9"/>
      <c r="I81" s="9"/>
      <c r="J81" s="14"/>
      <c r="K81" s="37"/>
    </row>
    <row r="82" spans="2:19" x14ac:dyDescent="0.25">
      <c r="B82" s="127" t="s">
        <v>34</v>
      </c>
      <c r="C82" s="7"/>
      <c r="D82" s="7"/>
      <c r="E82" s="26" t="s">
        <v>116</v>
      </c>
      <c r="F82" s="8"/>
      <c r="G82" s="7"/>
      <c r="H82" s="9"/>
      <c r="I82" s="9"/>
      <c r="J82" s="14"/>
      <c r="K82" s="37"/>
    </row>
    <row r="83" spans="2:19" x14ac:dyDescent="0.25">
      <c r="B83" s="6"/>
      <c r="C83" s="7"/>
      <c r="D83" s="7"/>
      <c r="E83" s="26"/>
      <c r="F83" s="8"/>
      <c r="G83" s="7"/>
      <c r="H83" s="9"/>
      <c r="I83" s="9"/>
      <c r="J83" s="14"/>
      <c r="K83" s="37"/>
    </row>
    <row r="84" spans="2:19" ht="216" customHeight="1" x14ac:dyDescent="0.25">
      <c r="B84" s="6" t="s">
        <v>229</v>
      </c>
      <c r="C84" s="7" t="s">
        <v>109</v>
      </c>
      <c r="D84" s="7" t="s">
        <v>16</v>
      </c>
      <c r="E84" s="21" t="s">
        <v>110</v>
      </c>
      <c r="F84" s="153">
        <f>38.96+17.41+9.49+10.78+12.51+20.52+2.27+9.97+9.97+9.61+9.61+9.75+9.68+9.79+9.79+82.07+3.76+3.76+4.19+15.22+24.37+8.12+28.89+25.55+10.08+24.79+9.61+24.75+9.6+25.28+9.98+6.76+8.07+6.1+6.07+8.12</f>
        <v>535.25000000000023</v>
      </c>
      <c r="G84" s="7" t="s">
        <v>102</v>
      </c>
      <c r="H84" s="264" t="s">
        <v>183</v>
      </c>
      <c r="I84" s="265"/>
      <c r="J84" s="266"/>
      <c r="K84" s="130"/>
    </row>
    <row r="85" spans="2:19" x14ac:dyDescent="0.25">
      <c r="B85" s="6" t="s">
        <v>230</v>
      </c>
      <c r="C85" s="7" t="s">
        <v>107</v>
      </c>
      <c r="D85" s="7" t="s">
        <v>16</v>
      </c>
      <c r="E85" s="21" t="s">
        <v>108</v>
      </c>
      <c r="F85" s="8">
        <v>156.61000000000001</v>
      </c>
      <c r="G85" s="7" t="s">
        <v>102</v>
      </c>
      <c r="H85" s="268" t="s">
        <v>182</v>
      </c>
      <c r="I85" s="268"/>
      <c r="J85" s="269"/>
      <c r="K85" s="130"/>
    </row>
    <row r="86" spans="2:19" x14ac:dyDescent="0.25">
      <c r="B86" s="6"/>
      <c r="C86" s="15"/>
      <c r="D86" s="7"/>
      <c r="E86" s="19"/>
      <c r="F86" s="8"/>
      <c r="G86" s="7"/>
      <c r="H86" s="9"/>
      <c r="I86" s="9"/>
      <c r="J86" s="14"/>
      <c r="K86" s="130"/>
    </row>
    <row r="87" spans="2:19" ht="18" x14ac:dyDescent="0.25">
      <c r="B87" s="127">
        <v>6</v>
      </c>
      <c r="C87" s="7"/>
      <c r="D87" s="7"/>
      <c r="E87" s="135" t="s">
        <v>119</v>
      </c>
      <c r="F87" s="8"/>
      <c r="G87" s="7"/>
      <c r="H87" s="9"/>
      <c r="I87" s="9"/>
      <c r="J87" s="14"/>
      <c r="K87" s="130"/>
      <c r="O87" s="71"/>
      <c r="Q87" s="238"/>
      <c r="R87" s="238"/>
      <c r="S87" s="238"/>
    </row>
    <row r="88" spans="2:19" ht="18" x14ac:dyDescent="0.25">
      <c r="B88" s="6" t="s">
        <v>85</v>
      </c>
      <c r="C88" s="7"/>
      <c r="D88" s="7"/>
      <c r="E88" s="134" t="s">
        <v>120</v>
      </c>
      <c r="F88" s="8"/>
      <c r="G88" s="7"/>
      <c r="H88" s="9"/>
      <c r="I88" s="9"/>
      <c r="J88" s="14"/>
      <c r="K88" s="130"/>
      <c r="O88" s="71"/>
      <c r="Q88" s="72"/>
      <c r="R88" s="72"/>
      <c r="S88" s="72"/>
    </row>
    <row r="89" spans="2:19" ht="60" x14ac:dyDescent="0.25">
      <c r="B89" s="6" t="s">
        <v>200</v>
      </c>
      <c r="C89" s="7" t="s">
        <v>196</v>
      </c>
      <c r="D89" s="7" t="s">
        <v>16</v>
      </c>
      <c r="E89" s="141" t="s">
        <v>197</v>
      </c>
      <c r="F89" s="153">
        <f>38.96+17.41+9.49+10.78+12.51+20.52+2.27+9.97+9.97+9.61+9.61+9.75+9.68+9.79+9.79+82.07+3.76+3.76+4.19+15.22+24.37+8.12+28.89+25.55+10.08+24.79+9.61+24.75+9.6+25.28+9.98+6.76+8.07+6.1+6.07+8.12+156.61</f>
        <v>691.86000000000024</v>
      </c>
      <c r="G89" s="7" t="s">
        <v>102</v>
      </c>
      <c r="H89" s="264" t="s">
        <v>191</v>
      </c>
      <c r="I89" s="265"/>
      <c r="J89" s="266"/>
      <c r="K89" s="130"/>
      <c r="O89" s="71"/>
      <c r="Q89" s="72"/>
      <c r="R89" s="72"/>
      <c r="S89" s="72"/>
    </row>
    <row r="90" spans="2:19" ht="45" x14ac:dyDescent="0.25">
      <c r="B90" s="158" t="s">
        <v>201</v>
      </c>
      <c r="C90" s="7" t="s">
        <v>198</v>
      </c>
      <c r="D90" s="7" t="s">
        <v>16</v>
      </c>
      <c r="E90" s="141" t="s">
        <v>199</v>
      </c>
      <c r="F90" s="154">
        <f>((12.46+ 18.43+ 54.36+ 13+18.4+  12.54+ 12.54+12.34+12.34+ 12.38+12.44+12.46+12.46+76.69+ 15.22+ 15.71)*2.7)+ ((2.7+ 20.2+ 14.98+ 19.86+14.63+ 14.84+ 14.61+20.08+ 14.68+10.52+11.52+8.12)*3.6)</f>
        <v>1474.4430000000002</v>
      </c>
      <c r="G90" s="7" t="s">
        <v>102</v>
      </c>
      <c r="H90" s="264" t="s">
        <v>193</v>
      </c>
      <c r="I90" s="265"/>
      <c r="J90" s="266"/>
      <c r="K90" s="130"/>
      <c r="O90" s="71"/>
      <c r="Q90" s="72"/>
      <c r="R90" s="72"/>
      <c r="S90" s="72"/>
    </row>
    <row r="91" spans="2:19" ht="45" x14ac:dyDescent="0.25">
      <c r="B91" s="6" t="s">
        <v>202</v>
      </c>
      <c r="C91" s="7" t="s">
        <v>190</v>
      </c>
      <c r="D91" s="7" t="s">
        <v>16</v>
      </c>
      <c r="E91" s="141" t="s">
        <v>194</v>
      </c>
      <c r="F91" s="153">
        <f>38.96+17.41+9.49+10.78+12.51+20.52+2.27+9.97+9.97+9.61+9.61+9.75+9.68+9.79+9.79+82.07+3.76+3.76+4.19+15.22+24.37+8.12+28.89+25.55+10.08+24.79+9.61+24.75+9.6+25.28+9.98+6.76+8.07+6.1+6.07+8.12+156.61</f>
        <v>691.86000000000024</v>
      </c>
      <c r="G91" s="7" t="s">
        <v>102</v>
      </c>
      <c r="H91" s="264" t="s">
        <v>191</v>
      </c>
      <c r="I91" s="265"/>
      <c r="J91" s="266"/>
      <c r="K91" s="130"/>
      <c r="O91" s="71"/>
      <c r="Q91" s="72"/>
      <c r="R91" s="72"/>
      <c r="S91" s="72"/>
    </row>
    <row r="92" spans="2:19" ht="45" x14ac:dyDescent="0.25">
      <c r="B92" s="158" t="s">
        <v>203</v>
      </c>
      <c r="C92" s="7" t="s">
        <v>192</v>
      </c>
      <c r="D92" s="7" t="s">
        <v>16</v>
      </c>
      <c r="E92" s="141" t="s">
        <v>195</v>
      </c>
      <c r="F92" s="154">
        <f>((12.46+ 18.43+ 54.36+ 13+18.4+  12.54+ 12.54+12.34+12.34+ 12.38+12.44+12.46+12.46+76.69+ 15.22+ 15.71)*2.7)+ ((2.7+ 20.2+ 14.98+ 19.86+14.63+ 14.84+ 14.61+20.08+ 14.68+10.52+11.52+8.12)*3.6)</f>
        <v>1474.4430000000002</v>
      </c>
      <c r="G92" s="7" t="s">
        <v>102</v>
      </c>
      <c r="H92" s="264" t="s">
        <v>193</v>
      </c>
      <c r="I92" s="265"/>
      <c r="J92" s="266"/>
      <c r="K92" s="130"/>
      <c r="O92" s="71"/>
      <c r="Q92" s="72"/>
      <c r="R92" s="72"/>
      <c r="S92" s="72"/>
    </row>
    <row r="93" spans="2:19" ht="60" x14ac:dyDescent="0.25">
      <c r="B93" s="6" t="s">
        <v>235</v>
      </c>
      <c r="C93" s="7" t="s">
        <v>204</v>
      </c>
      <c r="D93" s="7" t="s">
        <v>16</v>
      </c>
      <c r="E93" s="141" t="s">
        <v>205</v>
      </c>
      <c r="F93" s="154">
        <f>((12.46+ 18.43+ 54.36+ 13+18.4+  12.54+ 12.54+12.34+12.34+ 12.38+12.44+12.46+12.46+76.69+ 15.22+ 15.71)*2.7)+ ((2.7+ 20.2+ 14.98+ 19.86+14.63+ 14.84+ 14.61+20.08+ 14.68+10.52+11.52+8.12)*3.6)</f>
        <v>1474.4430000000002</v>
      </c>
      <c r="G93" s="7" t="s">
        <v>102</v>
      </c>
      <c r="H93" s="264" t="s">
        <v>193</v>
      </c>
      <c r="I93" s="265"/>
      <c r="J93" s="266"/>
      <c r="K93" s="130"/>
      <c r="O93" s="71"/>
      <c r="Q93" s="72"/>
      <c r="R93" s="72"/>
      <c r="S93" s="72"/>
    </row>
    <row r="94" spans="2:19" ht="216" customHeight="1" x14ac:dyDescent="0.25">
      <c r="B94" s="158" t="s">
        <v>236</v>
      </c>
      <c r="C94" s="7" t="s">
        <v>206</v>
      </c>
      <c r="D94" s="7" t="s">
        <v>16</v>
      </c>
      <c r="E94" s="141" t="s">
        <v>207</v>
      </c>
      <c r="F94" s="153">
        <f>38.96+17.41+9.49+10.78+12.51+20.52+2.27+9.97+9.97+9.61+9.61+9.75+9.68+9.79+9.79+82.07+3.76+3.76+4.19+15.22+24.37+8.12+28.89+25.55+10.08+24.79+9.61+24.75+9.6+25.28+9.98+6.76+8.07+6.1+6.07+8.12+156.61</f>
        <v>691.86000000000024</v>
      </c>
      <c r="G94" s="7" t="s">
        <v>102</v>
      </c>
      <c r="H94" s="264" t="s">
        <v>191</v>
      </c>
      <c r="I94" s="265"/>
      <c r="J94" s="266"/>
      <c r="K94" s="130"/>
      <c r="O94" s="71"/>
      <c r="Q94" s="72"/>
      <c r="R94" s="72"/>
      <c r="S94" s="72"/>
    </row>
    <row r="95" spans="2:19" ht="45" x14ac:dyDescent="0.25">
      <c r="B95" s="6" t="s">
        <v>237</v>
      </c>
      <c r="C95" s="7">
        <v>102214</v>
      </c>
      <c r="D95" s="7" t="s">
        <v>14</v>
      </c>
      <c r="E95" s="141" t="s">
        <v>231</v>
      </c>
      <c r="F95" s="154">
        <f>3*((0.9*2.1)*2)+26*((0.8*2.1)*2)</f>
        <v>98.700000000000017</v>
      </c>
      <c r="G95" s="7" t="s">
        <v>102</v>
      </c>
      <c r="H95" s="264" t="s">
        <v>232</v>
      </c>
      <c r="I95" s="265"/>
      <c r="J95" s="266"/>
      <c r="K95" s="130"/>
      <c r="O95" s="71"/>
      <c r="Q95" s="72"/>
      <c r="R95" s="72"/>
      <c r="S95" s="72"/>
    </row>
    <row r="96" spans="2:19" ht="18" x14ac:dyDescent="0.25">
      <c r="B96" s="6"/>
      <c r="C96" s="7"/>
      <c r="D96" s="7"/>
      <c r="E96" s="1"/>
      <c r="F96" s="8"/>
      <c r="G96" s="7"/>
      <c r="H96" s="9"/>
      <c r="I96" s="9"/>
      <c r="J96" s="14"/>
      <c r="K96" s="130"/>
      <c r="O96" s="71"/>
      <c r="Q96" s="72"/>
      <c r="R96" s="72"/>
      <c r="S96" s="72"/>
    </row>
    <row r="97" spans="2:19" s="133" customFormat="1" ht="18" x14ac:dyDescent="0.25">
      <c r="B97" s="127" t="s">
        <v>86</v>
      </c>
      <c r="C97" s="136"/>
      <c r="D97" s="136"/>
      <c r="E97" s="134" t="s">
        <v>121</v>
      </c>
      <c r="F97" s="155"/>
      <c r="G97" s="136"/>
      <c r="H97" s="156"/>
      <c r="I97" s="156"/>
      <c r="J97" s="157"/>
      <c r="K97" s="159"/>
      <c r="O97" s="160"/>
      <c r="Q97" s="161"/>
      <c r="R97" s="161"/>
      <c r="S97" s="161"/>
    </row>
    <row r="98" spans="2:19" s="133" customFormat="1" ht="45" x14ac:dyDescent="0.25">
      <c r="B98" s="6" t="s">
        <v>238</v>
      </c>
      <c r="C98" s="7" t="s">
        <v>198</v>
      </c>
      <c r="D98" s="7" t="s">
        <v>16</v>
      </c>
      <c r="E98" s="141" t="s">
        <v>208</v>
      </c>
      <c r="F98" s="154">
        <f>(31.4+1.12)*5.4+(31.4+1.12)*1.2+(4.35*1.8)*2+(26.2*5.4)+(26.2*1.2)+ (26.2*2.13)/2+(5.05*3)*2+ (8.25*28.3)+(4.35*3)*2+(8.25*10.5)+(5.05*1.8)*2</f>
        <v>825.79500000000007</v>
      </c>
      <c r="G98" s="7" t="s">
        <v>102</v>
      </c>
      <c r="H98" s="264" t="s">
        <v>209</v>
      </c>
      <c r="I98" s="265"/>
      <c r="J98" s="266"/>
      <c r="K98" s="159"/>
      <c r="O98" s="160"/>
      <c r="Q98" s="161"/>
      <c r="R98" s="161"/>
      <c r="S98" s="161"/>
    </row>
    <row r="99" spans="2:19" s="133" customFormat="1" ht="45" x14ac:dyDescent="0.25">
      <c r="B99" s="6" t="s">
        <v>239</v>
      </c>
      <c r="C99" s="7" t="s">
        <v>204</v>
      </c>
      <c r="D99" s="7" t="s">
        <v>16</v>
      </c>
      <c r="E99" s="140" t="s">
        <v>210</v>
      </c>
      <c r="F99" s="154">
        <f>(31.4+1.12)*5.4+(31.4+1.12)*1.2+(4.35*1.8)*2+(26.2*5.4)+(26.2*1.2)+ (26.2*2.13)/2+(5.05*3)*2+ (8.25*28.3)+(4.35*3)*2+(8.25*10.5)+(5.05*1.8)*2</f>
        <v>825.79500000000007</v>
      </c>
      <c r="G99" s="7" t="s">
        <v>102</v>
      </c>
      <c r="H99" s="264" t="s">
        <v>209</v>
      </c>
      <c r="I99" s="265"/>
      <c r="J99" s="266"/>
      <c r="K99" s="159"/>
      <c r="O99" s="160"/>
      <c r="Q99" s="161"/>
      <c r="R99" s="161"/>
      <c r="S99" s="161"/>
    </row>
    <row r="100" spans="2:19" s="133" customFormat="1" ht="45" x14ac:dyDescent="0.25">
      <c r="B100" s="6" t="s">
        <v>240</v>
      </c>
      <c r="C100" s="7" t="s">
        <v>233</v>
      </c>
      <c r="D100" s="7" t="s">
        <v>16</v>
      </c>
      <c r="E100" s="140" t="s">
        <v>253</v>
      </c>
      <c r="F100" s="8">
        <f>((3.2*2.2)+(4*2.2))*2</f>
        <v>31.680000000000003</v>
      </c>
      <c r="G100" s="7" t="s">
        <v>102</v>
      </c>
      <c r="H100" s="268" t="s">
        <v>234</v>
      </c>
      <c r="I100" s="268"/>
      <c r="J100" s="269"/>
      <c r="K100" s="159"/>
      <c r="O100" s="160"/>
      <c r="Q100" s="161"/>
      <c r="R100" s="161"/>
      <c r="S100" s="161"/>
    </row>
    <row r="101" spans="2:19" s="133" customFormat="1" ht="18" x14ac:dyDescent="0.25">
      <c r="B101" s="127"/>
      <c r="C101" s="136"/>
      <c r="D101" s="136"/>
      <c r="E101" s="134"/>
      <c r="F101" s="155"/>
      <c r="G101" s="136"/>
      <c r="H101" s="156"/>
      <c r="I101" s="156"/>
      <c r="J101" s="157"/>
      <c r="K101" s="159"/>
      <c r="O101" s="160"/>
      <c r="Q101" s="161"/>
      <c r="R101" s="161"/>
      <c r="S101" s="161"/>
    </row>
    <row r="102" spans="2:19" ht="18" x14ac:dyDescent="0.25">
      <c r="B102" s="127">
        <v>7</v>
      </c>
      <c r="C102" s="136"/>
      <c r="D102" s="136"/>
      <c r="E102" s="133" t="s">
        <v>122</v>
      </c>
      <c r="F102" s="8"/>
      <c r="G102" s="7"/>
      <c r="H102" s="9"/>
      <c r="I102" s="9"/>
      <c r="J102" s="14"/>
      <c r="K102" s="130"/>
      <c r="O102" s="71"/>
      <c r="Q102" s="72"/>
      <c r="R102" s="72"/>
      <c r="S102" s="72"/>
    </row>
    <row r="103" spans="2:19" ht="18" x14ac:dyDescent="0.25">
      <c r="B103" s="6"/>
      <c r="C103" s="7"/>
      <c r="D103" s="7"/>
      <c r="E103" s="135"/>
      <c r="F103" s="8"/>
      <c r="G103" s="7"/>
      <c r="H103" s="9"/>
      <c r="I103" s="9"/>
      <c r="J103" s="14"/>
      <c r="K103" s="130"/>
      <c r="O103" s="71"/>
      <c r="Q103" s="72"/>
      <c r="R103" s="72"/>
      <c r="S103" s="72"/>
    </row>
    <row r="104" spans="2:19" ht="18" x14ac:dyDescent="0.25">
      <c r="B104" s="6" t="s">
        <v>249</v>
      </c>
      <c r="C104" s="7" t="s">
        <v>245</v>
      </c>
      <c r="D104" s="7" t="s">
        <v>16</v>
      </c>
      <c r="E104" s="123" t="s">
        <v>251</v>
      </c>
      <c r="F104" s="8">
        <v>2</v>
      </c>
      <c r="G104" s="7" t="s">
        <v>425</v>
      </c>
      <c r="H104" s="268" t="s">
        <v>248</v>
      </c>
      <c r="I104" s="268"/>
      <c r="J104" s="269"/>
      <c r="K104" s="130"/>
      <c r="O104" s="71"/>
      <c r="Q104" s="72"/>
      <c r="R104" s="72"/>
      <c r="S104" s="72"/>
    </row>
    <row r="105" spans="2:19" ht="45.75" customHeight="1" x14ac:dyDescent="0.25">
      <c r="B105" s="6" t="s">
        <v>250</v>
      </c>
      <c r="C105" s="7" t="s">
        <v>246</v>
      </c>
      <c r="D105" s="7" t="s">
        <v>16</v>
      </c>
      <c r="E105" s="123" t="s">
        <v>252</v>
      </c>
      <c r="F105" s="8">
        <f>2+2+1+1+1+2+2</f>
        <v>11</v>
      </c>
      <c r="G105" s="7" t="s">
        <v>425</v>
      </c>
      <c r="H105" s="267" t="s">
        <v>247</v>
      </c>
      <c r="I105" s="268"/>
      <c r="J105" s="269"/>
      <c r="K105" s="130"/>
      <c r="O105" s="71"/>
      <c r="Q105" s="72"/>
      <c r="R105" s="72"/>
      <c r="S105" s="72"/>
    </row>
    <row r="106" spans="2:19" ht="45.75" customHeight="1" x14ac:dyDescent="0.25">
      <c r="B106" s="6" t="s">
        <v>254</v>
      </c>
      <c r="C106" s="7"/>
      <c r="D106" s="7"/>
      <c r="E106" s="123" t="s">
        <v>257</v>
      </c>
      <c r="F106" s="8">
        <f>((1.1+1.1) +(0.8+0.8)+(1.95+1.85)+(0.8)+3.1)*0.55</f>
        <v>6.3250000000000002</v>
      </c>
      <c r="G106" s="7" t="s">
        <v>255</v>
      </c>
      <c r="H106" s="267" t="s">
        <v>275</v>
      </c>
      <c r="I106" s="268"/>
      <c r="J106" s="269"/>
      <c r="K106" s="130"/>
      <c r="O106" s="71"/>
      <c r="Q106" s="72"/>
      <c r="R106" s="72"/>
      <c r="S106" s="72"/>
    </row>
    <row r="107" spans="2:19" ht="61.5" customHeight="1" x14ac:dyDescent="0.25">
      <c r="B107" s="6" t="s">
        <v>256</v>
      </c>
      <c r="C107" s="7"/>
      <c r="D107" s="7"/>
      <c r="E107" s="140" t="s">
        <v>214</v>
      </c>
      <c r="F107" s="8">
        <f>((1.1+1.1+0.55+0.55)+(0.8+0.8+0.55+0.55)+(1.95+1.85+0.55+0.55)+(0.8+0.55))+(3.1+0.75)</f>
        <v>16.099999999999998</v>
      </c>
      <c r="G107" s="7" t="s">
        <v>19</v>
      </c>
      <c r="H107" s="267" t="s">
        <v>276</v>
      </c>
      <c r="I107" s="268"/>
      <c r="J107" s="269"/>
      <c r="K107" s="130"/>
      <c r="O107" s="71"/>
      <c r="Q107" s="72"/>
      <c r="R107" s="72"/>
      <c r="S107" s="72"/>
    </row>
    <row r="108" spans="2:19" ht="73.5" customHeight="1" x14ac:dyDescent="0.25">
      <c r="B108" s="6" t="s">
        <v>259</v>
      </c>
      <c r="C108" s="7"/>
      <c r="D108" s="7"/>
      <c r="E108" s="141" t="s">
        <v>261</v>
      </c>
      <c r="F108" s="8">
        <f>((1.1+1.1+0.55+0.55)+(0.8+0.8+0.55+0.55)+(1.95+1.85+0.55+0.55)+(0.8+0.55))+(3.1+0.55)</f>
        <v>15.899999999999999</v>
      </c>
      <c r="G108" s="7" t="s">
        <v>19</v>
      </c>
      <c r="H108" s="267" t="s">
        <v>277</v>
      </c>
      <c r="I108" s="268"/>
      <c r="J108" s="269"/>
      <c r="K108" s="130"/>
      <c r="O108" s="71"/>
      <c r="Q108" s="72"/>
      <c r="R108" s="72"/>
      <c r="S108" s="72"/>
    </row>
    <row r="109" spans="2:19" ht="50.25" customHeight="1" x14ac:dyDescent="0.25">
      <c r="B109" s="6" t="s">
        <v>268</v>
      </c>
      <c r="C109" s="7" t="s">
        <v>258</v>
      </c>
      <c r="D109" s="7" t="s">
        <v>16</v>
      </c>
      <c r="E109" s="123" t="s">
        <v>260</v>
      </c>
      <c r="F109" s="8">
        <f>1+1</f>
        <v>2</v>
      </c>
      <c r="G109" s="7" t="s">
        <v>424</v>
      </c>
      <c r="H109" s="267" t="s">
        <v>284</v>
      </c>
      <c r="I109" s="268"/>
      <c r="J109" s="269"/>
      <c r="K109" s="130"/>
      <c r="O109" s="71"/>
      <c r="Q109" s="72"/>
      <c r="R109" s="72"/>
      <c r="S109" s="72"/>
    </row>
    <row r="110" spans="2:19" ht="81" customHeight="1" x14ac:dyDescent="0.25">
      <c r="B110" s="6" t="s">
        <v>269</v>
      </c>
      <c r="C110" s="7" t="s">
        <v>271</v>
      </c>
      <c r="D110" s="7" t="s">
        <v>16</v>
      </c>
      <c r="E110" s="123" t="s">
        <v>274</v>
      </c>
      <c r="F110" s="8">
        <v>1</v>
      </c>
      <c r="G110" s="7" t="s">
        <v>425</v>
      </c>
      <c r="H110" s="267" t="s">
        <v>272</v>
      </c>
      <c r="I110" s="268"/>
      <c r="J110" s="269"/>
      <c r="K110" s="130"/>
      <c r="O110" s="71"/>
      <c r="Q110" s="72"/>
      <c r="R110" s="72"/>
      <c r="S110" s="72"/>
    </row>
    <row r="111" spans="2:19" ht="58.5" customHeight="1" x14ac:dyDescent="0.25">
      <c r="B111" s="6" t="s">
        <v>273</v>
      </c>
      <c r="C111" s="7" t="s">
        <v>278</v>
      </c>
      <c r="D111" s="7" t="s">
        <v>16</v>
      </c>
      <c r="E111" s="123" t="s">
        <v>281</v>
      </c>
      <c r="F111" s="8">
        <f>2+2+1+1+1+1+1</f>
        <v>9</v>
      </c>
      <c r="G111" s="7" t="s">
        <v>425</v>
      </c>
      <c r="H111" s="267" t="s">
        <v>279</v>
      </c>
      <c r="I111" s="268"/>
      <c r="J111" s="269"/>
      <c r="K111" s="130"/>
      <c r="O111" s="71"/>
      <c r="Q111" s="72"/>
      <c r="R111" s="72"/>
      <c r="S111" s="72"/>
    </row>
    <row r="112" spans="2:19" ht="58.5" customHeight="1" x14ac:dyDescent="0.25">
      <c r="B112" s="6" t="s">
        <v>280</v>
      </c>
      <c r="C112" s="7" t="s">
        <v>282</v>
      </c>
      <c r="D112" s="7" t="s">
        <v>16</v>
      </c>
      <c r="E112" s="123" t="s">
        <v>283</v>
      </c>
      <c r="F112" s="8">
        <v>1</v>
      </c>
      <c r="G112" s="7" t="s">
        <v>425</v>
      </c>
      <c r="H112" s="267" t="s">
        <v>272</v>
      </c>
      <c r="I112" s="268"/>
      <c r="J112" s="269"/>
      <c r="K112" s="130"/>
      <c r="O112" s="71"/>
      <c r="Q112" s="72"/>
      <c r="R112" s="72"/>
      <c r="S112" s="72"/>
    </row>
    <row r="113" spans="2:19" ht="53.25" customHeight="1" x14ac:dyDescent="0.25">
      <c r="B113" s="6" t="s">
        <v>285</v>
      </c>
      <c r="C113" s="7">
        <v>100853</v>
      </c>
      <c r="D113" s="7" t="s">
        <v>14</v>
      </c>
      <c r="E113" s="123" t="s">
        <v>270</v>
      </c>
      <c r="F113" s="8">
        <f>2+2+1+1+1+1+1</f>
        <v>9</v>
      </c>
      <c r="G113" s="7" t="s">
        <v>425</v>
      </c>
      <c r="H113" s="267" t="s">
        <v>279</v>
      </c>
      <c r="I113" s="268"/>
      <c r="J113" s="269"/>
      <c r="K113" s="130"/>
      <c r="O113" s="71"/>
      <c r="Q113" s="72"/>
      <c r="R113" s="72"/>
      <c r="S113" s="72"/>
    </row>
    <row r="114" spans="2:19" ht="74.25" customHeight="1" x14ac:dyDescent="0.25">
      <c r="B114" s="6" t="s">
        <v>286</v>
      </c>
      <c r="C114" s="7" t="s">
        <v>291</v>
      </c>
      <c r="D114" s="7" t="s">
        <v>16</v>
      </c>
      <c r="E114" s="123" t="s">
        <v>292</v>
      </c>
      <c r="F114" s="8">
        <v>2</v>
      </c>
      <c r="G114" s="7" t="s">
        <v>425</v>
      </c>
      <c r="H114" s="267" t="s">
        <v>295</v>
      </c>
      <c r="I114" s="268"/>
      <c r="J114" s="269"/>
      <c r="K114" s="130"/>
    </row>
    <row r="115" spans="2:19" ht="67.5" customHeight="1" x14ac:dyDescent="0.25">
      <c r="B115" s="6" t="s">
        <v>287</v>
      </c>
      <c r="C115" s="7" t="s">
        <v>293</v>
      </c>
      <c r="D115" s="7" t="s">
        <v>16</v>
      </c>
      <c r="E115" s="123" t="s">
        <v>294</v>
      </c>
      <c r="F115" s="8">
        <v>2</v>
      </c>
      <c r="G115" s="7" t="s">
        <v>425</v>
      </c>
      <c r="H115" s="267" t="s">
        <v>295</v>
      </c>
      <c r="I115" s="268"/>
      <c r="J115" s="269"/>
      <c r="K115" s="130"/>
    </row>
    <row r="116" spans="2:19" ht="35.25" customHeight="1" x14ac:dyDescent="0.25">
      <c r="B116" s="6" t="s">
        <v>288</v>
      </c>
      <c r="C116" s="7" t="s">
        <v>296</v>
      </c>
      <c r="D116" s="7" t="s">
        <v>16</v>
      </c>
      <c r="E116" s="123" t="s">
        <v>298</v>
      </c>
      <c r="F116" s="8">
        <v>2</v>
      </c>
      <c r="G116" s="7" t="s">
        <v>425</v>
      </c>
      <c r="H116" s="267" t="s">
        <v>297</v>
      </c>
      <c r="I116" s="268"/>
      <c r="J116" s="269"/>
      <c r="K116" s="130"/>
    </row>
    <row r="117" spans="2:19" ht="50.25" customHeight="1" x14ac:dyDescent="0.25">
      <c r="B117" s="6" t="s">
        <v>289</v>
      </c>
      <c r="C117" s="7" t="s">
        <v>299</v>
      </c>
      <c r="D117" s="7" t="s">
        <v>16</v>
      </c>
      <c r="E117" s="123" t="s">
        <v>300</v>
      </c>
      <c r="F117" s="8">
        <f>3+3+1+1+1+2+2</f>
        <v>13</v>
      </c>
      <c r="G117" s="7" t="s">
        <v>425</v>
      </c>
      <c r="H117" s="267" t="s">
        <v>279</v>
      </c>
      <c r="I117" s="268"/>
      <c r="J117" s="269"/>
      <c r="K117" s="130"/>
    </row>
    <row r="118" spans="2:19" ht="50.25" customHeight="1" x14ac:dyDescent="0.25">
      <c r="B118" s="6" t="s">
        <v>290</v>
      </c>
      <c r="C118" s="7" t="s">
        <v>301</v>
      </c>
      <c r="D118" s="7" t="s">
        <v>16</v>
      </c>
      <c r="E118" s="123" t="s">
        <v>305</v>
      </c>
      <c r="F118" s="8">
        <f>1+1+1+1+1+1+1</f>
        <v>7</v>
      </c>
      <c r="G118" s="7" t="s">
        <v>425</v>
      </c>
      <c r="H118" s="267" t="s">
        <v>302</v>
      </c>
      <c r="I118" s="268"/>
      <c r="J118" s="269"/>
      <c r="K118" s="130"/>
    </row>
    <row r="119" spans="2:19" ht="50.25" customHeight="1" x14ac:dyDescent="0.25">
      <c r="B119" s="6" t="s">
        <v>304</v>
      </c>
      <c r="C119" s="7" t="s">
        <v>303</v>
      </c>
      <c r="D119" s="7" t="s">
        <v>16</v>
      </c>
      <c r="E119" s="123" t="s">
        <v>306</v>
      </c>
      <c r="F119" s="8">
        <f>1+1+1+1+1+1+1</f>
        <v>7</v>
      </c>
      <c r="G119" s="7" t="s">
        <v>425</v>
      </c>
      <c r="H119" s="267" t="s">
        <v>313</v>
      </c>
      <c r="I119" s="268"/>
      <c r="J119" s="269"/>
      <c r="K119" s="130"/>
    </row>
    <row r="120" spans="2:19" ht="50.25" customHeight="1" x14ac:dyDescent="0.25">
      <c r="B120" s="6" t="s">
        <v>308</v>
      </c>
      <c r="C120" s="7" t="s">
        <v>307</v>
      </c>
      <c r="D120" s="7" t="s">
        <v>16</v>
      </c>
      <c r="E120" s="123" t="s">
        <v>310</v>
      </c>
      <c r="F120" s="8">
        <f>3.9+4.3</f>
        <v>8.1999999999999993</v>
      </c>
      <c r="G120" s="7" t="s">
        <v>19</v>
      </c>
      <c r="H120" s="267" t="s">
        <v>311</v>
      </c>
      <c r="I120" s="268"/>
      <c r="J120" s="269"/>
      <c r="K120" s="130"/>
    </row>
    <row r="121" spans="2:19" ht="46.5" customHeight="1" x14ac:dyDescent="0.25">
      <c r="B121" s="6" t="s">
        <v>309</v>
      </c>
      <c r="C121" s="7" t="s">
        <v>312</v>
      </c>
      <c r="D121" s="7" t="s">
        <v>16</v>
      </c>
      <c r="E121" s="123" t="s">
        <v>314</v>
      </c>
      <c r="F121" s="8">
        <f>1+1+1+1+1+1+1</f>
        <v>7</v>
      </c>
      <c r="G121" s="7" t="s">
        <v>425</v>
      </c>
      <c r="H121" s="267" t="s">
        <v>302</v>
      </c>
      <c r="I121" s="268"/>
      <c r="J121" s="269"/>
      <c r="K121" s="130"/>
    </row>
    <row r="122" spans="2:19" ht="12.95" customHeight="1" x14ac:dyDescent="0.25">
      <c r="B122" s="6"/>
      <c r="C122" s="15"/>
      <c r="D122" s="7"/>
      <c r="E122" s="120"/>
      <c r="F122" s="8"/>
      <c r="G122" s="7"/>
      <c r="H122" s="9"/>
      <c r="I122" s="9"/>
      <c r="J122" s="157"/>
      <c r="K122" s="37"/>
    </row>
    <row r="123" spans="2:19" ht="12.95" customHeight="1" x14ac:dyDescent="0.25">
      <c r="B123" s="127">
        <v>8</v>
      </c>
      <c r="C123" s="15"/>
      <c r="D123" s="7"/>
      <c r="E123" s="191" t="s">
        <v>315</v>
      </c>
      <c r="F123" s="8"/>
      <c r="G123" s="7"/>
      <c r="H123" s="9"/>
      <c r="I123" s="9"/>
      <c r="J123" s="157"/>
      <c r="K123" s="37"/>
    </row>
    <row r="124" spans="2:19" ht="12.95" customHeight="1" x14ac:dyDescent="0.25">
      <c r="B124" s="127"/>
      <c r="C124" s="15"/>
      <c r="D124" s="7"/>
      <c r="E124" s="191"/>
      <c r="F124" s="8"/>
      <c r="G124" s="7"/>
      <c r="H124" s="9"/>
      <c r="I124" s="9"/>
      <c r="J124" s="157"/>
      <c r="K124" s="37"/>
    </row>
    <row r="125" spans="2:19" ht="34.5" customHeight="1" x14ac:dyDescent="0.25">
      <c r="B125" s="6" t="s">
        <v>319</v>
      </c>
      <c r="C125" s="7" t="s">
        <v>322</v>
      </c>
      <c r="D125" s="7" t="s">
        <v>16</v>
      </c>
      <c r="E125" s="21" t="s">
        <v>324</v>
      </c>
      <c r="F125" s="8">
        <f>((26.5*14.7)/2+22*0.4)*0.2</f>
        <v>40.715000000000003</v>
      </c>
      <c r="G125" s="7" t="s">
        <v>93</v>
      </c>
      <c r="H125" s="267" t="s">
        <v>317</v>
      </c>
      <c r="I125" s="268"/>
      <c r="J125" s="269"/>
      <c r="K125" s="130"/>
    </row>
    <row r="126" spans="2:19" ht="34.5" customHeight="1" x14ac:dyDescent="0.25">
      <c r="B126" s="6" t="s">
        <v>320</v>
      </c>
      <c r="C126" s="7" t="s">
        <v>325</v>
      </c>
      <c r="D126" s="7" t="s">
        <v>16</v>
      </c>
      <c r="E126" s="123" t="s">
        <v>326</v>
      </c>
      <c r="F126" s="8">
        <f>((26.5*14.7)/2+22*0.4)*0.2</f>
        <v>40.715000000000003</v>
      </c>
      <c r="G126" s="7" t="s">
        <v>93</v>
      </c>
      <c r="H126" s="267" t="s">
        <v>317</v>
      </c>
      <c r="I126" s="268"/>
      <c r="J126" s="269"/>
      <c r="K126" s="130"/>
    </row>
    <row r="127" spans="2:19" ht="38.25" customHeight="1" x14ac:dyDescent="0.25">
      <c r="B127" s="6" t="s">
        <v>321</v>
      </c>
      <c r="C127" s="7"/>
      <c r="D127" s="7"/>
      <c r="E127" s="125" t="s">
        <v>323</v>
      </c>
      <c r="F127" s="8">
        <v>5</v>
      </c>
      <c r="G127" s="7" t="s">
        <v>19</v>
      </c>
      <c r="H127" s="267" t="s">
        <v>411</v>
      </c>
      <c r="I127" s="268"/>
      <c r="J127" s="269"/>
      <c r="K127" s="130"/>
    </row>
    <row r="128" spans="2:19" ht="39" customHeight="1" x14ac:dyDescent="0.25">
      <c r="B128" s="6" t="s">
        <v>327</v>
      </c>
      <c r="C128" s="7" t="s">
        <v>316</v>
      </c>
      <c r="D128" s="7" t="s">
        <v>16</v>
      </c>
      <c r="E128" s="123" t="s">
        <v>318</v>
      </c>
      <c r="F128" s="8">
        <f>(26.5*14.7)/2+22*0.4</f>
        <v>203.57499999999999</v>
      </c>
      <c r="G128" s="7" t="s">
        <v>102</v>
      </c>
      <c r="H128" s="267" t="s">
        <v>317</v>
      </c>
      <c r="I128" s="268"/>
      <c r="J128" s="269"/>
      <c r="K128" s="130"/>
    </row>
    <row r="129" spans="2:11" ht="178.5" customHeight="1" x14ac:dyDescent="0.25">
      <c r="B129" s="6" t="s">
        <v>427</v>
      </c>
      <c r="C129" s="7" t="s">
        <v>426</v>
      </c>
      <c r="D129" s="7" t="s">
        <v>16</v>
      </c>
      <c r="E129" s="123" t="s">
        <v>428</v>
      </c>
      <c r="F129" s="153">
        <f>38.96+17.41+156.61+9.49+10.78+12.51+20.52+2.27+9.97+9.97+9.61+9.61+9.75+9.68+9.79+9.79+82.07+3.76+3.76+4.19+15.22+24.37+8.12+28.89+25.55+10.08+24.79+9.61+24.75+9.6+25.28+9.98+6.76+8.07+6.1+6.07</f>
        <v>683.74000000000024</v>
      </c>
      <c r="G129" s="7" t="s">
        <v>102</v>
      </c>
      <c r="H129" s="264" t="s">
        <v>429</v>
      </c>
      <c r="I129" s="265"/>
      <c r="J129" s="266"/>
      <c r="K129" s="130"/>
    </row>
    <row r="130" spans="2:11" ht="12.95" customHeight="1" x14ac:dyDescent="0.25">
      <c r="B130" s="6"/>
      <c r="C130" s="7"/>
      <c r="D130" s="7"/>
      <c r="E130" s="18"/>
      <c r="F130" s="8"/>
      <c r="G130" s="16"/>
      <c r="H130" s="9"/>
      <c r="I130" s="9"/>
      <c r="J130" s="14"/>
      <c r="K130" s="37"/>
    </row>
    <row r="131" spans="2:11" ht="12.95" customHeight="1" x14ac:dyDescent="0.25">
      <c r="B131" s="127">
        <v>9</v>
      </c>
      <c r="C131" s="15"/>
      <c r="D131" s="7"/>
      <c r="E131" s="191" t="s">
        <v>416</v>
      </c>
      <c r="F131" s="8"/>
      <c r="G131" s="16"/>
      <c r="H131" s="9"/>
      <c r="I131" s="9"/>
      <c r="J131" s="205"/>
      <c r="K131" s="37"/>
    </row>
    <row r="132" spans="2:11" ht="12.95" customHeight="1" x14ac:dyDescent="0.25">
      <c r="B132" s="127"/>
      <c r="C132" s="7"/>
      <c r="D132" s="7"/>
      <c r="E132" s="18"/>
      <c r="F132" s="8"/>
      <c r="G132" s="16"/>
      <c r="H132" s="9"/>
      <c r="I132" s="9"/>
      <c r="J132" s="205"/>
      <c r="K132" s="37"/>
    </row>
    <row r="133" spans="2:11" ht="162.75" customHeight="1" x14ac:dyDescent="0.25">
      <c r="B133" s="6" t="s">
        <v>420</v>
      </c>
      <c r="C133" s="7" t="s">
        <v>417</v>
      </c>
      <c r="D133" s="7"/>
      <c r="E133" s="206" t="s">
        <v>419</v>
      </c>
      <c r="F133" s="8">
        <v>1</v>
      </c>
      <c r="G133" s="7" t="s">
        <v>425</v>
      </c>
      <c r="H133" s="264" t="s">
        <v>418</v>
      </c>
      <c r="I133" s="265"/>
      <c r="J133" s="266"/>
      <c r="K133" s="37"/>
    </row>
    <row r="134" spans="2:11" ht="12.95" customHeight="1" x14ac:dyDescent="0.25">
      <c r="B134" s="243"/>
      <c r="C134" s="244"/>
      <c r="D134" s="244"/>
      <c r="E134" s="244"/>
      <c r="F134" s="244"/>
      <c r="G134" s="244"/>
      <c r="H134" s="245"/>
      <c r="I134" s="251"/>
      <c r="J134" s="252"/>
      <c r="K134" s="37"/>
    </row>
    <row r="135" spans="2:11" ht="12.95" customHeight="1" x14ac:dyDescent="0.25">
      <c r="B135" s="243"/>
      <c r="C135" s="244"/>
      <c r="D135" s="244"/>
      <c r="E135" s="244"/>
      <c r="F135" s="244"/>
      <c r="G135" s="244"/>
      <c r="H135" s="245"/>
      <c r="I135" s="251"/>
      <c r="J135" s="252"/>
      <c r="K135" s="37"/>
    </row>
    <row r="136" spans="2:11" ht="12.95" customHeight="1" thickBot="1" x14ac:dyDescent="0.3">
      <c r="B136" s="246"/>
      <c r="C136" s="247"/>
      <c r="D136" s="247"/>
      <c r="E136" s="247"/>
      <c r="F136" s="247"/>
      <c r="G136" s="247"/>
      <c r="H136" s="248"/>
      <c r="I136" s="253"/>
      <c r="J136" s="254"/>
      <c r="K136" s="37"/>
    </row>
    <row r="137" spans="2:11" ht="9.75" customHeight="1" x14ac:dyDescent="0.25">
      <c r="K137" s="37"/>
    </row>
    <row r="138" spans="2:11" ht="12.75" customHeight="1" x14ac:dyDescent="0.25">
      <c r="B138" s="63"/>
      <c r="C138" s="63"/>
      <c r="D138" s="63"/>
      <c r="E138" s="63"/>
      <c r="F138" s="63"/>
      <c r="G138" s="63"/>
      <c r="H138" s="63"/>
      <c r="I138" s="31"/>
      <c r="J138" s="31"/>
      <c r="K138" s="31"/>
    </row>
    <row r="139" spans="2:11" ht="18" customHeight="1" x14ac:dyDescent="0.25">
      <c r="B139" s="255"/>
      <c r="C139" s="255"/>
      <c r="D139" s="256"/>
      <c r="E139" s="256"/>
      <c r="F139" s="76"/>
      <c r="G139" s="257"/>
      <c r="H139" s="257"/>
      <c r="I139" s="257"/>
      <c r="J139" s="257"/>
      <c r="K139" s="32"/>
    </row>
    <row r="140" spans="2:11" ht="18" customHeight="1" x14ac:dyDescent="0.25">
      <c r="B140" s="255"/>
      <c r="C140" s="255"/>
      <c r="D140" s="258"/>
      <c r="E140" s="258"/>
      <c r="F140" s="76"/>
      <c r="G140" s="259"/>
      <c r="H140" s="259"/>
      <c r="I140" s="259"/>
      <c r="J140" s="259"/>
      <c r="K140" s="33"/>
    </row>
    <row r="141" spans="2:11" ht="23.85" customHeight="1" x14ac:dyDescent="0.25">
      <c r="B141" s="255"/>
      <c r="C141" s="255"/>
      <c r="D141" s="260"/>
      <c r="E141" s="260"/>
      <c r="F141" s="76"/>
      <c r="G141" s="260"/>
      <c r="H141" s="260"/>
      <c r="I141" s="260"/>
      <c r="J141" s="260"/>
      <c r="K141" s="34"/>
    </row>
    <row r="142" spans="2:11" ht="17.25" customHeight="1" x14ac:dyDescent="0.25">
      <c r="B142" s="255"/>
      <c r="C142" s="255"/>
      <c r="D142" s="259"/>
      <c r="E142" s="259"/>
      <c r="F142" s="76"/>
      <c r="G142" s="255"/>
      <c r="H142" s="255"/>
      <c r="I142" s="255"/>
      <c r="J142" s="255"/>
      <c r="K142" s="35"/>
    </row>
    <row r="143" spans="2:11" ht="18" customHeight="1" x14ac:dyDescent="0.25">
      <c r="B143" s="36"/>
      <c r="C143" s="36"/>
      <c r="D143" s="77"/>
      <c r="E143" s="36"/>
      <c r="F143" s="76"/>
      <c r="G143" s="36"/>
      <c r="H143" s="78"/>
      <c r="I143" s="78"/>
      <c r="J143" s="36"/>
      <c r="K143" s="36"/>
    </row>
    <row r="144" spans="2:11" x14ac:dyDescent="0.25">
      <c r="K144" s="102"/>
    </row>
    <row r="145" spans="11:11" x14ac:dyDescent="0.25">
      <c r="K145" s="102"/>
    </row>
    <row r="146" spans="11:11" x14ac:dyDescent="0.25">
      <c r="K146" s="37"/>
    </row>
    <row r="147" spans="11:11" x14ac:dyDescent="0.25">
      <c r="K147" s="108"/>
    </row>
    <row r="148" spans="11:11" x14ac:dyDescent="0.25">
      <c r="K148" s="108"/>
    </row>
    <row r="149" spans="11:11" x14ac:dyDescent="0.25">
      <c r="K149" s="108"/>
    </row>
    <row r="150" spans="11:11" x14ac:dyDescent="0.25">
      <c r="K150" s="108"/>
    </row>
    <row r="151" spans="11:11" x14ac:dyDescent="0.25">
      <c r="K151" s="108"/>
    </row>
    <row r="152" spans="11:11" x14ac:dyDescent="0.25">
      <c r="K152" s="108"/>
    </row>
    <row r="153" spans="11:11" x14ac:dyDescent="0.25">
      <c r="K153" s="102"/>
    </row>
    <row r="154" spans="11:11" x14ac:dyDescent="0.25">
      <c r="K154" s="102"/>
    </row>
    <row r="155" spans="11:11" x14ac:dyDescent="0.25">
      <c r="K155" s="102"/>
    </row>
    <row r="156" spans="11:11" x14ac:dyDescent="0.25">
      <c r="K156" s="102"/>
    </row>
    <row r="157" spans="11:11" x14ac:dyDescent="0.25">
      <c r="K157" s="102"/>
    </row>
    <row r="158" spans="11:11" x14ac:dyDescent="0.25">
      <c r="K158" s="102"/>
    </row>
    <row r="159" spans="11:11" x14ac:dyDescent="0.25">
      <c r="K159" s="102"/>
    </row>
    <row r="160" spans="11:11" x14ac:dyDescent="0.25">
      <c r="K160" s="102"/>
    </row>
    <row r="161" spans="11:11" x14ac:dyDescent="0.25">
      <c r="K161" s="102"/>
    </row>
    <row r="162" spans="11:11" x14ac:dyDescent="0.25">
      <c r="K162" s="102"/>
    </row>
    <row r="163" spans="11:11" x14ac:dyDescent="0.25">
      <c r="K163" s="102"/>
    </row>
    <row r="168" spans="11:11" x14ac:dyDescent="0.25">
      <c r="K168" s="31"/>
    </row>
    <row r="169" spans="11:11" ht="0.75" customHeight="1" x14ac:dyDescent="0.25">
      <c r="K169" s="31"/>
    </row>
    <row r="170" spans="11:11" ht="5.25" customHeight="1" x14ac:dyDescent="0.25">
      <c r="K170" s="31"/>
    </row>
  </sheetData>
  <mergeCells count="116">
    <mergeCell ref="H50:J50"/>
    <mergeCell ref="H51:J51"/>
    <mergeCell ref="H33:J33"/>
    <mergeCell ref="H35:J35"/>
    <mergeCell ref="H36:J36"/>
    <mergeCell ref="H40:J40"/>
    <mergeCell ref="H41:J41"/>
    <mergeCell ref="H42:J42"/>
    <mergeCell ref="H43:J43"/>
    <mergeCell ref="H44:J44"/>
    <mergeCell ref="H45:J45"/>
    <mergeCell ref="Q87:S87"/>
    <mergeCell ref="B134:H136"/>
    <mergeCell ref="I134:J136"/>
    <mergeCell ref="H93:J93"/>
    <mergeCell ref="H94:J94"/>
    <mergeCell ref="H67:J67"/>
    <mergeCell ref="H68:J68"/>
    <mergeCell ref="H69:J69"/>
    <mergeCell ref="H60:J60"/>
    <mergeCell ref="H80:J80"/>
    <mergeCell ref="H91:J91"/>
    <mergeCell ref="H92:J92"/>
    <mergeCell ref="H89:J89"/>
    <mergeCell ref="H90:J90"/>
    <mergeCell ref="H85:J85"/>
    <mergeCell ref="H84:J84"/>
    <mergeCell ref="H78:J78"/>
    <mergeCell ref="H107:J107"/>
    <mergeCell ref="H106:J106"/>
    <mergeCell ref="H98:J98"/>
    <mergeCell ref="H99:J99"/>
    <mergeCell ref="H95:J95"/>
    <mergeCell ref="H133:J133"/>
    <mergeCell ref="H128:J128"/>
    <mergeCell ref="B6:J6"/>
    <mergeCell ref="H10:J10"/>
    <mergeCell ref="H11:J11"/>
    <mergeCell ref="H9:J9"/>
    <mergeCell ref="H12:J12"/>
    <mergeCell ref="H14:J14"/>
    <mergeCell ref="H15:J15"/>
    <mergeCell ref="H19:J19"/>
    <mergeCell ref="B139:C142"/>
    <mergeCell ref="D139:E139"/>
    <mergeCell ref="G139:J139"/>
    <mergeCell ref="D140:E140"/>
    <mergeCell ref="G140:J140"/>
    <mergeCell ref="D141:E141"/>
    <mergeCell ref="G141:J141"/>
    <mergeCell ref="D142:E142"/>
    <mergeCell ref="G142:J142"/>
    <mergeCell ref="H64:J64"/>
    <mergeCell ref="H65:J65"/>
    <mergeCell ref="H52:J52"/>
    <mergeCell ref="H53:J53"/>
    <mergeCell ref="H54:J54"/>
    <mergeCell ref="H56:J56"/>
    <mergeCell ref="H55:J55"/>
    <mergeCell ref="G2:J2"/>
    <mergeCell ref="B2:C5"/>
    <mergeCell ref="D3:E3"/>
    <mergeCell ref="D4:E4"/>
    <mergeCell ref="D5:E5"/>
    <mergeCell ref="D2:E2"/>
    <mergeCell ref="G3:J3"/>
    <mergeCell ref="G4:J4"/>
    <mergeCell ref="G5:J5"/>
    <mergeCell ref="H20:J20"/>
    <mergeCell ref="H21:J21"/>
    <mergeCell ref="H72:J72"/>
    <mergeCell ref="H73:J73"/>
    <mergeCell ref="H75:J75"/>
    <mergeCell ref="H74:J74"/>
    <mergeCell ref="H70:J70"/>
    <mergeCell ref="H76:J76"/>
    <mergeCell ref="H77:J77"/>
    <mergeCell ref="H23:J23"/>
    <mergeCell ref="H34:J34"/>
    <mergeCell ref="H22:J22"/>
    <mergeCell ref="H24:J24"/>
    <mergeCell ref="H25:J25"/>
    <mergeCell ref="H26:J26"/>
    <mergeCell ref="H27:J27"/>
    <mergeCell ref="H46:J46"/>
    <mergeCell ref="H28:J28"/>
    <mergeCell ref="H30:J30"/>
    <mergeCell ref="H29:J29"/>
    <mergeCell ref="H31:J31"/>
    <mergeCell ref="H32:J32"/>
    <mergeCell ref="H57:J57"/>
    <mergeCell ref="H58:J58"/>
    <mergeCell ref="H129:J129"/>
    <mergeCell ref="H127:J127"/>
    <mergeCell ref="H125:J125"/>
    <mergeCell ref="H126:J126"/>
    <mergeCell ref="H37:J37"/>
    <mergeCell ref="H114:J114"/>
    <mergeCell ref="H115:J115"/>
    <mergeCell ref="H116:J116"/>
    <mergeCell ref="H117:J117"/>
    <mergeCell ref="H121:J121"/>
    <mergeCell ref="H118:J118"/>
    <mergeCell ref="H119:J119"/>
    <mergeCell ref="H120:J120"/>
    <mergeCell ref="H109:J109"/>
    <mergeCell ref="H108:J108"/>
    <mergeCell ref="H113:J113"/>
    <mergeCell ref="H110:J110"/>
    <mergeCell ref="H111:J111"/>
    <mergeCell ref="H112:J112"/>
    <mergeCell ref="H100:J100"/>
    <mergeCell ref="H79:J79"/>
    <mergeCell ref="H104:J104"/>
    <mergeCell ref="H105:J105"/>
    <mergeCell ref="H59:J59"/>
  </mergeCells>
  <phoneticPr fontId="8" type="noConversion"/>
  <pageMargins left="0.51181102362204722" right="0.51181102362204722" top="0.78740157480314965" bottom="0.78740157480314965" header="0.31496062992125984" footer="0.31496062992125984"/>
  <pageSetup paperSize="9" scale="92" orientation="landscape" r:id="rId1"/>
  <headerFooter>
    <oddFooter>&amp;L20/11/2022&amp;C______________________________________________________
Bruna Luizy Silveira Arquiteta e  Urbanista CAU A272685-5&amp;R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43"/>
  <sheetViews>
    <sheetView tabSelected="1" zoomScale="115" zoomScaleNormal="115" zoomScaleSheetLayoutView="100" workbookViewId="0">
      <selection activeCell="F25" sqref="F25"/>
    </sheetView>
  </sheetViews>
  <sheetFormatPr defaultRowHeight="15" x14ac:dyDescent="0.25"/>
  <cols>
    <col min="1" max="1" width="4.5703125" customWidth="1"/>
    <col min="2" max="2" width="9.28515625" customWidth="1"/>
    <col min="3" max="3" width="13.85546875" customWidth="1"/>
    <col min="4" max="4" width="13.42578125" customWidth="1"/>
    <col min="5" max="5" width="17.42578125" customWidth="1"/>
    <col min="6" max="6" width="12.140625" bestFit="1" customWidth="1"/>
    <col min="7" max="8" width="11.5703125" bestFit="1" customWidth="1"/>
    <col min="9" max="9" width="12.140625" bestFit="1" customWidth="1"/>
    <col min="10" max="12" width="11.85546875" bestFit="1" customWidth="1"/>
    <col min="13" max="13" width="12.28515625" bestFit="1" customWidth="1"/>
    <col min="14" max="14" width="12.42578125" bestFit="1" customWidth="1"/>
    <col min="15" max="15" width="13.5703125" bestFit="1" customWidth="1"/>
    <col min="16" max="16" width="0.85546875" customWidth="1"/>
    <col min="18" max="18" width="9.140625" customWidth="1"/>
  </cols>
  <sheetData>
    <row r="1" spans="2:24" ht="21" customHeight="1" thickBot="1" x14ac:dyDescent="0.3">
      <c r="B1" s="345"/>
      <c r="C1" s="345"/>
      <c r="D1" s="345"/>
      <c r="E1" s="345"/>
      <c r="F1" s="345"/>
      <c r="G1" s="345"/>
      <c r="H1" s="345"/>
      <c r="I1" s="345"/>
      <c r="J1" s="345"/>
      <c r="K1" s="345"/>
      <c r="L1" s="345"/>
      <c r="M1" s="345"/>
      <c r="N1" s="345"/>
      <c r="O1" s="345"/>
    </row>
    <row r="2" spans="2:24" ht="18" customHeight="1" thickBot="1" x14ac:dyDescent="0.3">
      <c r="B2" s="346"/>
      <c r="C2" s="347"/>
      <c r="D2" s="348" t="s">
        <v>0</v>
      </c>
      <c r="E2" s="349"/>
      <c r="F2" s="350" t="s">
        <v>1</v>
      </c>
      <c r="G2" s="351" t="s">
        <v>2</v>
      </c>
      <c r="H2" s="352"/>
      <c r="I2" s="352"/>
      <c r="J2" s="352"/>
      <c r="K2" s="352"/>
      <c r="L2" s="352"/>
      <c r="M2" s="352"/>
      <c r="N2" s="352"/>
      <c r="O2" s="353"/>
      <c r="P2" s="32"/>
    </row>
    <row r="3" spans="2:24" ht="25.5" customHeight="1" thickBot="1" x14ac:dyDescent="0.3">
      <c r="B3" s="354"/>
      <c r="C3" s="355"/>
      <c r="D3" s="356" t="str">
        <f>'Planilha Orçamentaria (2)'!D3:E3</f>
        <v>E-mail: cmcfundo@gmail.com – CNPJ 02.347.381/0001-05</v>
      </c>
      <c r="E3" s="357"/>
      <c r="F3" s="350" t="s">
        <v>3</v>
      </c>
      <c r="G3" s="358" t="s">
        <v>4</v>
      </c>
      <c r="H3" s="359"/>
      <c r="I3" s="359"/>
      <c r="J3" s="359"/>
      <c r="K3" s="359"/>
      <c r="L3" s="359"/>
      <c r="M3" s="359"/>
      <c r="N3" s="359"/>
      <c r="O3" s="360"/>
      <c r="P3" s="33"/>
    </row>
    <row r="4" spans="2:24" ht="23.25" customHeight="1" thickBot="1" x14ac:dyDescent="0.3">
      <c r="B4" s="354"/>
      <c r="C4" s="355"/>
      <c r="D4" s="361" t="str">
        <f>'Planilha Orçamentaria (2)'!D4:E4</f>
        <v xml:space="preserve">Tel: (037) 3322-9122 - Rua Galeno Silva, nº 146– Centro – CEP 35.578-000 </v>
      </c>
      <c r="E4" s="362"/>
      <c r="F4" s="363" t="s">
        <v>5</v>
      </c>
      <c r="G4" s="364" t="s">
        <v>6</v>
      </c>
      <c r="H4" s="364"/>
      <c r="I4" s="364"/>
      <c r="J4" s="364"/>
      <c r="K4" s="364"/>
      <c r="L4" s="364"/>
      <c r="M4" s="364"/>
      <c r="N4" s="364"/>
      <c r="O4" s="365"/>
      <c r="P4" s="34"/>
    </row>
    <row r="5" spans="2:24" ht="30.75" customHeight="1" thickBot="1" x14ac:dyDescent="0.3">
      <c r="B5" s="366"/>
      <c r="C5" s="367"/>
      <c r="D5" s="361" t="str">
        <f>'Planilha Orçamentaria (2)'!D5:E5</f>
        <v>REFERENCIA - SETOP-06/2022 - SINAPI -10/22</v>
      </c>
      <c r="E5" s="362"/>
      <c r="F5" s="350" t="s">
        <v>7</v>
      </c>
      <c r="G5" s="368"/>
      <c r="H5" s="368"/>
      <c r="I5" s="368"/>
      <c r="J5" s="368"/>
      <c r="K5" s="368"/>
      <c r="L5" s="368"/>
      <c r="M5" s="368"/>
      <c r="N5" s="368"/>
      <c r="O5" s="369"/>
      <c r="P5" s="35"/>
    </row>
    <row r="6" spans="2:24" ht="15" customHeight="1" thickBot="1" x14ac:dyDescent="0.3">
      <c r="B6" s="370"/>
      <c r="C6" s="370"/>
      <c r="D6" s="371"/>
      <c r="E6" s="370"/>
      <c r="F6" s="350"/>
      <c r="G6" s="370"/>
      <c r="H6" s="372"/>
      <c r="I6" s="372"/>
      <c r="J6" s="372"/>
      <c r="K6" s="372"/>
      <c r="L6" s="372"/>
      <c r="M6" s="372"/>
      <c r="N6" s="372"/>
      <c r="O6" s="373"/>
      <c r="P6" s="36"/>
    </row>
    <row r="7" spans="2:24" ht="12.95" customHeight="1" thickBot="1" x14ac:dyDescent="0.3">
      <c r="B7" s="374"/>
      <c r="C7" s="375"/>
      <c r="D7" s="375"/>
      <c r="E7" s="376"/>
      <c r="F7" s="375"/>
      <c r="G7" s="375"/>
      <c r="H7" s="375"/>
      <c r="I7" s="375"/>
      <c r="J7" s="375"/>
      <c r="K7" s="375"/>
      <c r="L7" s="375"/>
      <c r="M7" s="375"/>
      <c r="N7" s="375"/>
      <c r="O7" s="375"/>
      <c r="P7" s="17"/>
    </row>
    <row r="8" spans="2:24" ht="12.95" customHeight="1" x14ac:dyDescent="0.25">
      <c r="B8" s="377" t="s">
        <v>38</v>
      </c>
      <c r="C8" s="378"/>
      <c r="D8" s="378"/>
      <c r="E8" s="378"/>
      <c r="F8" s="378"/>
      <c r="G8" s="378"/>
      <c r="H8" s="378"/>
      <c r="I8" s="378"/>
      <c r="J8" s="378"/>
      <c r="K8" s="378"/>
      <c r="L8" s="378"/>
      <c r="M8" s="378"/>
      <c r="N8" s="378"/>
      <c r="O8" s="379"/>
      <c r="P8" s="37"/>
    </row>
    <row r="9" spans="2:24" ht="12.95" customHeight="1" thickBot="1" x14ac:dyDescent="0.3">
      <c r="B9" s="380" t="s">
        <v>39</v>
      </c>
      <c r="C9" s="381"/>
      <c r="D9" s="403" t="s">
        <v>40</v>
      </c>
      <c r="E9" s="404" t="s">
        <v>41</v>
      </c>
      <c r="F9" s="404" t="s">
        <v>42</v>
      </c>
      <c r="G9" s="404" t="s">
        <v>43</v>
      </c>
      <c r="H9" s="404" t="s">
        <v>48</v>
      </c>
      <c r="I9" s="404" t="s">
        <v>49</v>
      </c>
      <c r="J9" s="404" t="s">
        <v>50</v>
      </c>
      <c r="K9" s="404" t="s">
        <v>51</v>
      </c>
      <c r="L9" s="404" t="s">
        <v>421</v>
      </c>
      <c r="M9" s="382" t="s">
        <v>422</v>
      </c>
      <c r="N9" s="382" t="s">
        <v>423</v>
      </c>
      <c r="O9" s="382" t="s">
        <v>44</v>
      </c>
      <c r="P9" s="37"/>
    </row>
    <row r="10" spans="2:24" ht="12.95" customHeight="1" thickBot="1" x14ac:dyDescent="0.3">
      <c r="B10" s="405" t="str">
        <f>'Planilha Orçamentaria (2)'!E8</f>
        <v xml:space="preserve">SERVIÇOS INICIAIS </v>
      </c>
      <c r="C10" s="409"/>
      <c r="D10" s="406" t="s">
        <v>45</v>
      </c>
      <c r="E10" s="407">
        <f>E11/E29</f>
        <v>7.2831519842370546E-2</v>
      </c>
      <c r="F10" s="408">
        <v>1</v>
      </c>
      <c r="G10" s="408"/>
      <c r="H10" s="408"/>
      <c r="I10" s="408"/>
      <c r="J10" s="408"/>
      <c r="K10" s="408"/>
      <c r="L10" s="408"/>
      <c r="M10" s="385"/>
      <c r="N10" s="385"/>
      <c r="O10" s="386">
        <f t="shared" ref="O10:O27" si="0">F10+G10+H10+I10+J10+K10+L10+M10+N10</f>
        <v>1</v>
      </c>
      <c r="P10" s="37"/>
    </row>
    <row r="11" spans="2:24" ht="12.95" customHeight="1" thickBot="1" x14ac:dyDescent="0.3">
      <c r="B11" s="410"/>
      <c r="C11" s="411"/>
      <c r="D11" s="383" t="s">
        <v>46</v>
      </c>
      <c r="E11" s="387">
        <f>'Planilha Orçamentaria (2)'!J15</f>
        <v>94686.2</v>
      </c>
      <c r="F11" s="387">
        <f t="shared" ref="F11:K11" si="1">F10*$E$11</f>
        <v>94686.2</v>
      </c>
      <c r="G11" s="387">
        <f t="shared" si="1"/>
        <v>0</v>
      </c>
      <c r="H11" s="387">
        <f t="shared" si="1"/>
        <v>0</v>
      </c>
      <c r="I11" s="387">
        <f t="shared" si="1"/>
        <v>0</v>
      </c>
      <c r="J11" s="387">
        <f t="shared" si="1"/>
        <v>0</v>
      </c>
      <c r="K11" s="387">
        <f t="shared" si="1"/>
        <v>0</v>
      </c>
      <c r="L11" s="387">
        <f t="shared" ref="L11:N11" si="2">L10*$E$11</f>
        <v>0</v>
      </c>
      <c r="M11" s="387">
        <f t="shared" ref="M11" si="3">M10*$E$11</f>
        <v>0</v>
      </c>
      <c r="N11" s="387">
        <f t="shared" si="2"/>
        <v>0</v>
      </c>
      <c r="O11" s="388">
        <f t="shared" si="0"/>
        <v>94686.2</v>
      </c>
      <c r="P11" s="37"/>
    </row>
    <row r="12" spans="2:24" ht="12.95" customHeight="1" thickBot="1" x14ac:dyDescent="0.3">
      <c r="B12" s="405" t="str">
        <f>'Planilha Orçamentaria (2)'!E17</f>
        <v>INSTALÇÃO ELETRICA</v>
      </c>
      <c r="C12" s="409"/>
      <c r="D12" s="383" t="s">
        <v>45</v>
      </c>
      <c r="E12" s="384">
        <f>E13/E29</f>
        <v>5.4275174493641207E-2</v>
      </c>
      <c r="F12" s="385">
        <v>0.5</v>
      </c>
      <c r="G12" s="385">
        <v>0.5</v>
      </c>
      <c r="H12" s="385"/>
      <c r="I12" s="385"/>
      <c r="J12" s="385"/>
      <c r="K12" s="385"/>
      <c r="L12" s="385"/>
      <c r="M12" s="385"/>
      <c r="N12" s="385"/>
      <c r="O12" s="386">
        <f t="shared" si="0"/>
        <v>1</v>
      </c>
      <c r="P12" s="37"/>
      <c r="T12" s="71"/>
      <c r="V12" s="238"/>
      <c r="W12" s="238"/>
      <c r="X12" s="238"/>
    </row>
    <row r="13" spans="2:24" ht="12.95" customHeight="1" thickBot="1" x14ac:dyDescent="0.3">
      <c r="B13" s="410"/>
      <c r="C13" s="411"/>
      <c r="D13" s="383" t="s">
        <v>46</v>
      </c>
      <c r="E13" s="387">
        <f>'Planilha Orçamentaria (2)'!J36</f>
        <v>70561.62</v>
      </c>
      <c r="F13" s="387">
        <f t="shared" ref="F13:K13" si="4">F12*$E$13</f>
        <v>35280.81</v>
      </c>
      <c r="G13" s="387">
        <f t="shared" si="4"/>
        <v>35280.81</v>
      </c>
      <c r="H13" s="387">
        <f t="shared" si="4"/>
        <v>0</v>
      </c>
      <c r="I13" s="387">
        <f t="shared" si="4"/>
        <v>0</v>
      </c>
      <c r="J13" s="387">
        <f t="shared" si="4"/>
        <v>0</v>
      </c>
      <c r="K13" s="387">
        <f t="shared" si="4"/>
        <v>0</v>
      </c>
      <c r="L13" s="387">
        <f t="shared" ref="L13:N13" si="5">L12*$E$13</f>
        <v>0</v>
      </c>
      <c r="M13" s="387">
        <f t="shared" ref="M13" si="6">M12*$E$13</f>
        <v>0</v>
      </c>
      <c r="N13" s="387">
        <f t="shared" si="5"/>
        <v>0</v>
      </c>
      <c r="O13" s="388">
        <f t="shared" si="0"/>
        <v>70561.62</v>
      </c>
      <c r="P13" s="37"/>
      <c r="T13" s="72"/>
      <c r="V13" s="238"/>
      <c r="W13" s="238"/>
      <c r="X13" s="238"/>
    </row>
    <row r="14" spans="2:24" ht="12.95" customHeight="1" thickBot="1" x14ac:dyDescent="0.3">
      <c r="B14" s="412" t="str">
        <f>'Planilha Orçamentaria (2)'!E38</f>
        <v>INSTALAÇÕES DE REDE LÓGICA E TELEFONIA</v>
      </c>
      <c r="C14" s="413"/>
      <c r="D14" s="383" t="s">
        <v>45</v>
      </c>
      <c r="E14" s="384">
        <f>E15/E29</f>
        <v>3.4921780815893907E-2</v>
      </c>
      <c r="F14" s="385">
        <v>0.2</v>
      </c>
      <c r="G14" s="385">
        <v>0.5</v>
      </c>
      <c r="H14" s="385">
        <v>0.3</v>
      </c>
      <c r="I14" s="385"/>
      <c r="J14" s="385"/>
      <c r="K14" s="385"/>
      <c r="L14" s="385"/>
      <c r="M14" s="385"/>
      <c r="N14" s="385"/>
      <c r="O14" s="386">
        <f t="shared" si="0"/>
        <v>1</v>
      </c>
      <c r="P14" s="37"/>
      <c r="T14" s="41"/>
      <c r="V14" s="239"/>
      <c r="W14" s="239"/>
      <c r="X14" s="239"/>
    </row>
    <row r="15" spans="2:24" ht="24.75" customHeight="1" thickBot="1" x14ac:dyDescent="0.3">
      <c r="B15" s="414"/>
      <c r="C15" s="415"/>
      <c r="D15" s="383" t="s">
        <v>46</v>
      </c>
      <c r="E15" s="387">
        <f>'Planilha Orçamentaria (2)'!J47</f>
        <v>45400.82</v>
      </c>
      <c r="F15" s="387">
        <f t="shared" ref="F15:K15" si="7">F14*$E$15</f>
        <v>9080.1640000000007</v>
      </c>
      <c r="G15" s="387">
        <f t="shared" si="7"/>
        <v>22700.41</v>
      </c>
      <c r="H15" s="387">
        <f t="shared" si="7"/>
        <v>13620.245999999999</v>
      </c>
      <c r="I15" s="387">
        <f t="shared" si="7"/>
        <v>0</v>
      </c>
      <c r="J15" s="387">
        <f t="shared" si="7"/>
        <v>0</v>
      </c>
      <c r="K15" s="387">
        <f t="shared" si="7"/>
        <v>0</v>
      </c>
      <c r="L15" s="387">
        <f t="shared" ref="L15:N15" si="8">L14*$E$15</f>
        <v>0</v>
      </c>
      <c r="M15" s="387">
        <f t="shared" ref="M15" si="9">M14*$E$15</f>
        <v>0</v>
      </c>
      <c r="N15" s="387">
        <f t="shared" si="8"/>
        <v>0</v>
      </c>
      <c r="O15" s="388">
        <f t="shared" si="0"/>
        <v>45400.82</v>
      </c>
      <c r="P15" s="37"/>
    </row>
    <row r="16" spans="2:24" ht="12.95" customHeight="1" thickBot="1" x14ac:dyDescent="0.3">
      <c r="B16" s="412" t="str">
        <f>'Planilha Orçamentaria (2)'!E49</f>
        <v>ESQUADRIAS</v>
      </c>
      <c r="C16" s="413"/>
      <c r="D16" s="383" t="s">
        <v>45</v>
      </c>
      <c r="E16" s="384">
        <f>E17/E29</f>
        <v>7.1156712253100066E-2</v>
      </c>
      <c r="F16" s="385"/>
      <c r="G16" s="385"/>
      <c r="H16" s="385"/>
      <c r="I16" s="385"/>
      <c r="J16" s="385"/>
      <c r="K16" s="385">
        <v>0.3</v>
      </c>
      <c r="L16" s="385">
        <v>0.3</v>
      </c>
      <c r="M16" s="385">
        <v>0.4</v>
      </c>
      <c r="N16" s="385"/>
      <c r="O16" s="386">
        <f t="shared" si="0"/>
        <v>1</v>
      </c>
      <c r="P16" s="37"/>
    </row>
    <row r="17" spans="2:16" ht="12.95" customHeight="1" thickBot="1" x14ac:dyDescent="0.3">
      <c r="B17" s="414"/>
      <c r="C17" s="415"/>
      <c r="D17" s="383" t="s">
        <v>46</v>
      </c>
      <c r="E17" s="387">
        <f>'Planilha Orçamentaria (2)'!J61</f>
        <v>92508.83</v>
      </c>
      <c r="F17" s="387">
        <f t="shared" ref="F17:K17" si="10">F16*$E$17</f>
        <v>0</v>
      </c>
      <c r="G17" s="387">
        <f t="shared" si="10"/>
        <v>0</v>
      </c>
      <c r="H17" s="387">
        <f t="shared" si="10"/>
        <v>0</v>
      </c>
      <c r="I17" s="387">
        <f t="shared" si="10"/>
        <v>0</v>
      </c>
      <c r="J17" s="387">
        <f t="shared" si="10"/>
        <v>0</v>
      </c>
      <c r="K17" s="387">
        <f t="shared" si="10"/>
        <v>27752.649000000001</v>
      </c>
      <c r="L17" s="387">
        <f t="shared" ref="L17:N17" si="11">L16*$E$17</f>
        <v>27752.649000000001</v>
      </c>
      <c r="M17" s="387">
        <f t="shared" ref="M17" si="12">M16*$E$17</f>
        <v>37003.531999999999</v>
      </c>
      <c r="N17" s="387">
        <f t="shared" si="11"/>
        <v>0</v>
      </c>
      <c r="O17" s="388">
        <f t="shared" si="0"/>
        <v>92508.83</v>
      </c>
      <c r="P17" s="37"/>
    </row>
    <row r="18" spans="2:16" ht="12.95" customHeight="1" thickBot="1" x14ac:dyDescent="0.3">
      <c r="B18" s="412" t="str">
        <f>'Planilha Orçamentaria (2)'!E63</f>
        <v>PISOS E REVESTIMENTOS</v>
      </c>
      <c r="C18" s="413"/>
      <c r="D18" s="383" t="s">
        <v>45</v>
      </c>
      <c r="E18" s="384">
        <f>E19/E29</f>
        <v>0.22827579675161461</v>
      </c>
      <c r="F18" s="385"/>
      <c r="G18" s="385">
        <v>0.1</v>
      </c>
      <c r="H18" s="385">
        <v>0.25</v>
      </c>
      <c r="I18" s="385">
        <v>0.4</v>
      </c>
      <c r="J18" s="385">
        <v>0.25</v>
      </c>
      <c r="K18" s="385"/>
      <c r="L18" s="385"/>
      <c r="M18" s="385"/>
      <c r="N18" s="385"/>
      <c r="O18" s="386">
        <f t="shared" si="0"/>
        <v>1</v>
      </c>
      <c r="P18" s="37"/>
    </row>
    <row r="19" spans="2:16" ht="12.95" customHeight="1" thickBot="1" x14ac:dyDescent="0.3">
      <c r="B19" s="414"/>
      <c r="C19" s="415"/>
      <c r="D19" s="383" t="s">
        <v>46</v>
      </c>
      <c r="E19" s="387">
        <f>'Planilha Orçamentaria (2)'!J91</f>
        <v>296774.90999999997</v>
      </c>
      <c r="F19" s="387">
        <f t="shared" ref="F19:L19" si="13">F18*$E$19</f>
        <v>0</v>
      </c>
      <c r="G19" s="387">
        <f t="shared" si="13"/>
        <v>29677.490999999998</v>
      </c>
      <c r="H19" s="387">
        <f t="shared" si="13"/>
        <v>74193.727499999994</v>
      </c>
      <c r="I19" s="387">
        <f t="shared" si="13"/>
        <v>118709.96399999999</v>
      </c>
      <c r="J19" s="387">
        <f t="shared" si="13"/>
        <v>74193.727499999994</v>
      </c>
      <c r="K19" s="387">
        <f t="shared" si="13"/>
        <v>0</v>
      </c>
      <c r="L19" s="387">
        <f t="shared" si="13"/>
        <v>0</v>
      </c>
      <c r="M19" s="387">
        <f t="shared" ref="M19" si="14">M18*$E$19</f>
        <v>0</v>
      </c>
      <c r="N19" s="387">
        <f t="shared" ref="N19" si="15">N18*$E$19</f>
        <v>0</v>
      </c>
      <c r="O19" s="388">
        <f t="shared" si="0"/>
        <v>296774.90999999997</v>
      </c>
      <c r="P19" s="37"/>
    </row>
    <row r="20" spans="2:16" ht="12.95" customHeight="1" thickBot="1" x14ac:dyDescent="0.3">
      <c r="B20" s="412" t="str">
        <f>'Planilha Orçamentaria (2)'!E93</f>
        <v>PINTURAS</v>
      </c>
      <c r="C20" s="413"/>
      <c r="D20" s="383" t="s">
        <v>45</v>
      </c>
      <c r="E20" s="384">
        <f>E21/E29</f>
        <v>9.7270679057070181E-2</v>
      </c>
      <c r="F20" s="385"/>
      <c r="G20" s="385"/>
      <c r="H20" s="385"/>
      <c r="I20" s="385"/>
      <c r="J20" s="385"/>
      <c r="K20" s="385">
        <v>0.25</v>
      </c>
      <c r="L20" s="385">
        <v>0.25</v>
      </c>
      <c r="M20" s="385">
        <v>0.5</v>
      </c>
      <c r="N20" s="385"/>
      <c r="O20" s="386">
        <f t="shared" si="0"/>
        <v>1</v>
      </c>
      <c r="P20" s="37"/>
    </row>
    <row r="21" spans="2:16" ht="12.95" customHeight="1" thickBot="1" x14ac:dyDescent="0.3">
      <c r="B21" s="414"/>
      <c r="C21" s="415"/>
      <c r="D21" s="383" t="s">
        <v>46</v>
      </c>
      <c r="E21" s="387">
        <f>'Planilha Orçamentaria (2)'!J109</f>
        <v>126458.86</v>
      </c>
      <c r="F21" s="387">
        <v>0</v>
      </c>
      <c r="G21" s="387">
        <v>0</v>
      </c>
      <c r="H21" s="387">
        <v>0</v>
      </c>
      <c r="I21" s="387">
        <f t="shared" ref="I21:N21" si="16">I20*$E$21</f>
        <v>0</v>
      </c>
      <c r="J21" s="387">
        <f t="shared" si="16"/>
        <v>0</v>
      </c>
      <c r="K21" s="387">
        <f t="shared" si="16"/>
        <v>31614.715</v>
      </c>
      <c r="L21" s="387">
        <f t="shared" si="16"/>
        <v>31614.715</v>
      </c>
      <c r="M21" s="387">
        <f t="shared" si="16"/>
        <v>63229.43</v>
      </c>
      <c r="N21" s="387">
        <f t="shared" si="16"/>
        <v>0</v>
      </c>
      <c r="O21" s="388">
        <f t="shared" si="0"/>
        <v>126458.86</v>
      </c>
      <c r="P21" s="37"/>
    </row>
    <row r="22" spans="2:16" ht="12.95" customHeight="1" thickBot="1" x14ac:dyDescent="0.3">
      <c r="B22" s="412" t="str">
        <f>'Planilha Orçamentaria (2)'!E111</f>
        <v>LOUÇAS, METAIS E ACESSORIOS</v>
      </c>
      <c r="C22" s="413"/>
      <c r="D22" s="383" t="s">
        <v>45</v>
      </c>
      <c r="E22" s="384">
        <f>E23/E29</f>
        <v>2.4260307544722935E-2</v>
      </c>
      <c r="F22" s="385"/>
      <c r="G22" s="385"/>
      <c r="H22" s="385"/>
      <c r="I22" s="385"/>
      <c r="J22" s="385">
        <v>0.3</v>
      </c>
      <c r="K22" s="385"/>
      <c r="L22" s="385">
        <v>0.35</v>
      </c>
      <c r="M22" s="385">
        <v>0.35</v>
      </c>
      <c r="N22" s="385"/>
      <c r="O22" s="386">
        <f t="shared" si="0"/>
        <v>0.99999999999999989</v>
      </c>
      <c r="P22" s="37"/>
    </row>
    <row r="23" spans="2:16" ht="12.95" customHeight="1" thickBot="1" x14ac:dyDescent="0.3">
      <c r="B23" s="414"/>
      <c r="C23" s="415"/>
      <c r="D23" s="383" t="s">
        <v>46</v>
      </c>
      <c r="E23" s="387">
        <f>'Planilha Orçamentaria (2)'!J131</f>
        <v>31540.14</v>
      </c>
      <c r="F23" s="387">
        <v>0</v>
      </c>
      <c r="G23" s="387">
        <v>0</v>
      </c>
      <c r="H23" s="387">
        <v>0</v>
      </c>
      <c r="I23" s="387">
        <f t="shared" ref="I23:N23" si="17">I22*$E$23</f>
        <v>0</v>
      </c>
      <c r="J23" s="387">
        <f t="shared" si="17"/>
        <v>9462.0419999999995</v>
      </c>
      <c r="K23" s="387">
        <f t="shared" si="17"/>
        <v>0</v>
      </c>
      <c r="L23" s="387">
        <f t="shared" si="17"/>
        <v>11039.048999999999</v>
      </c>
      <c r="M23" s="387">
        <f t="shared" si="17"/>
        <v>11039.048999999999</v>
      </c>
      <c r="N23" s="387">
        <f t="shared" si="17"/>
        <v>0</v>
      </c>
      <c r="O23" s="388">
        <f t="shared" si="0"/>
        <v>31540.14</v>
      </c>
      <c r="P23" s="37"/>
    </row>
    <row r="24" spans="2:16" ht="12.95" customHeight="1" thickBot="1" x14ac:dyDescent="0.3">
      <c r="B24" s="412" t="str">
        <f>'Planilha Orçamentaria (2)'!E132</f>
        <v>SERVIÇOS DE PAISAGISMO</v>
      </c>
      <c r="C24" s="413"/>
      <c r="D24" s="383" t="s">
        <v>45</v>
      </c>
      <c r="E24" s="384">
        <f>E25/E29</f>
        <v>1.2238893926260515E-2</v>
      </c>
      <c r="F24" s="385"/>
      <c r="G24" s="385"/>
      <c r="H24" s="385"/>
      <c r="I24" s="385"/>
      <c r="J24" s="385">
        <v>0.3</v>
      </c>
      <c r="K24" s="385">
        <v>0.2</v>
      </c>
      <c r="L24" s="385">
        <v>0.25</v>
      </c>
      <c r="M24" s="385">
        <v>0.25</v>
      </c>
      <c r="N24" s="385"/>
      <c r="O24" s="386">
        <f t="shared" si="0"/>
        <v>1</v>
      </c>
      <c r="P24" s="37"/>
    </row>
    <row r="25" spans="2:16" ht="12.95" customHeight="1" thickBot="1" x14ac:dyDescent="0.3">
      <c r="B25" s="414"/>
      <c r="C25" s="415"/>
      <c r="D25" s="383" t="s">
        <v>46</v>
      </c>
      <c r="E25" s="387">
        <f>'Planilha Orçamentaria (2)'!J139</f>
        <v>15911.44</v>
      </c>
      <c r="F25" s="387">
        <v>0</v>
      </c>
      <c r="G25" s="387">
        <v>0</v>
      </c>
      <c r="H25" s="387">
        <v>0</v>
      </c>
      <c r="I25" s="387">
        <f t="shared" ref="I25:N25" si="18">I24*$E$25</f>
        <v>0</v>
      </c>
      <c r="J25" s="387">
        <f t="shared" si="18"/>
        <v>4773.4319999999998</v>
      </c>
      <c r="K25" s="387">
        <f t="shared" si="18"/>
        <v>3182.2880000000005</v>
      </c>
      <c r="L25" s="387">
        <f t="shared" si="18"/>
        <v>3977.86</v>
      </c>
      <c r="M25" s="387">
        <f t="shared" si="18"/>
        <v>3977.86</v>
      </c>
      <c r="N25" s="387">
        <f t="shared" si="18"/>
        <v>0</v>
      </c>
      <c r="O25" s="388">
        <f t="shared" si="0"/>
        <v>15911.44</v>
      </c>
      <c r="P25" s="37"/>
    </row>
    <row r="26" spans="2:16" ht="12.95" customHeight="1" thickBot="1" x14ac:dyDescent="0.3">
      <c r="B26" s="412" t="str">
        <f>'Planilha Orçamentaria (2)'!E140</f>
        <v xml:space="preserve">BRISE  </v>
      </c>
      <c r="C26" s="413"/>
      <c r="D26" s="383" t="s">
        <v>45</v>
      </c>
      <c r="E26" s="384">
        <f>E27/E29</f>
        <v>0.40476913531532605</v>
      </c>
      <c r="F26" s="385"/>
      <c r="G26" s="385"/>
      <c r="H26" s="385"/>
      <c r="I26" s="385"/>
      <c r="J26" s="385"/>
      <c r="K26" s="385"/>
      <c r="L26" s="385"/>
      <c r="M26" s="385"/>
      <c r="N26" s="385">
        <v>1</v>
      </c>
      <c r="O26" s="386">
        <f t="shared" si="0"/>
        <v>1</v>
      </c>
      <c r="P26" s="37"/>
    </row>
    <row r="27" spans="2:16" ht="12.95" customHeight="1" thickBot="1" x14ac:dyDescent="0.3">
      <c r="B27" s="414"/>
      <c r="C27" s="415"/>
      <c r="D27" s="383" t="s">
        <v>46</v>
      </c>
      <c r="E27" s="387">
        <f>'Planilha Orçamentaria (2)'!J143</f>
        <v>526228.91</v>
      </c>
      <c r="F27" s="387">
        <v>0</v>
      </c>
      <c r="G27" s="387">
        <v>0</v>
      </c>
      <c r="H27" s="387">
        <v>0</v>
      </c>
      <c r="I27" s="387">
        <f>I26*$E$25</f>
        <v>0</v>
      </c>
      <c r="J27" s="387">
        <f>J26*$E$25</f>
        <v>0</v>
      </c>
      <c r="K27" s="387">
        <f>K26*$E$27</f>
        <v>0</v>
      </c>
      <c r="L27" s="387">
        <f>L26*$E$27</f>
        <v>0</v>
      </c>
      <c r="M27" s="387">
        <f>M26*$E$27</f>
        <v>0</v>
      </c>
      <c r="N27" s="387">
        <f>N26*$E$27</f>
        <v>526228.91</v>
      </c>
      <c r="O27" s="388">
        <f t="shared" si="0"/>
        <v>526228.91</v>
      </c>
      <c r="P27" s="37"/>
    </row>
    <row r="28" spans="2:16" ht="12.95" customHeight="1" thickBot="1" x14ac:dyDescent="0.3">
      <c r="B28" s="380" t="s">
        <v>47</v>
      </c>
      <c r="C28" s="381"/>
      <c r="D28" s="382" t="s">
        <v>45</v>
      </c>
      <c r="E28" s="389">
        <f>E20+E18+E16+E14+E12+E10</f>
        <v>0.5587316632136905</v>
      </c>
      <c r="F28" s="389">
        <f t="shared" ref="F28:N28" si="19">F29/$E$29</f>
        <v>0.10695346325236993</v>
      </c>
      <c r="G28" s="389">
        <f t="shared" si="19"/>
        <v>6.7426057329929012E-2</v>
      </c>
      <c r="H28" s="389">
        <f t="shared" si="19"/>
        <v>6.7545483432671818E-2</v>
      </c>
      <c r="I28" s="389">
        <f t="shared" si="19"/>
        <v>9.1310318700645848E-2</v>
      </c>
      <c r="J28" s="389">
        <f t="shared" si="19"/>
        <v>6.801870962919869E-2</v>
      </c>
      <c r="K28" s="389">
        <f t="shared" si="19"/>
        <v>4.8112462225449668E-2</v>
      </c>
      <c r="L28" s="389">
        <f t="shared" si="19"/>
        <v>5.721551456241572E-2</v>
      </c>
      <c r="M28" s="389">
        <f t="shared" si="19"/>
        <v>8.8648855551993269E-2</v>
      </c>
      <c r="N28" s="389">
        <f t="shared" si="19"/>
        <v>0.40476913531532605</v>
      </c>
      <c r="O28" s="389">
        <f>O29/$E$29</f>
        <v>1</v>
      </c>
      <c r="P28" s="37"/>
    </row>
    <row r="29" spans="2:16" ht="12.95" customHeight="1" thickBot="1" x14ac:dyDescent="0.3">
      <c r="B29" s="390"/>
      <c r="C29" s="391"/>
      <c r="D29" s="382" t="s">
        <v>46</v>
      </c>
      <c r="E29" s="392">
        <f t="shared" ref="E29:O29" si="20">SUM(E21+E19+E17+E15+E13+E11+E23+E25+E27)</f>
        <v>1300071.73</v>
      </c>
      <c r="F29" s="392">
        <f t="shared" si="20"/>
        <v>139047.174</v>
      </c>
      <c r="G29" s="392">
        <f t="shared" si="20"/>
        <v>87658.710999999996</v>
      </c>
      <c r="H29" s="392">
        <f t="shared" si="20"/>
        <v>87813.973499999993</v>
      </c>
      <c r="I29" s="392">
        <f t="shared" si="20"/>
        <v>118709.96399999999</v>
      </c>
      <c r="J29" s="392">
        <f t="shared" si="20"/>
        <v>88429.201499999996</v>
      </c>
      <c r="K29" s="392">
        <f t="shared" si="20"/>
        <v>62549.652000000002</v>
      </c>
      <c r="L29" s="392">
        <f t="shared" si="20"/>
        <v>74384.273000000001</v>
      </c>
      <c r="M29" s="392">
        <f t="shared" si="20"/>
        <v>115249.871</v>
      </c>
      <c r="N29" s="392">
        <f t="shared" si="20"/>
        <v>526228.91</v>
      </c>
      <c r="O29" s="392">
        <f t="shared" si="20"/>
        <v>1300071.73</v>
      </c>
      <c r="P29" s="37"/>
    </row>
    <row r="30" spans="2:16" ht="12.95" customHeight="1" x14ac:dyDescent="0.25">
      <c r="B30" s="393"/>
      <c r="C30" s="345"/>
      <c r="D30" s="345"/>
      <c r="E30" s="345"/>
      <c r="F30" s="345"/>
      <c r="G30" s="345"/>
      <c r="H30" s="345"/>
      <c r="I30" s="345"/>
      <c r="J30" s="345"/>
      <c r="K30" s="345"/>
      <c r="L30" s="345"/>
      <c r="M30" s="345"/>
      <c r="N30" s="345"/>
      <c r="O30" s="345"/>
      <c r="P30" s="37"/>
    </row>
    <row r="31" spans="2:16" ht="12.95" customHeight="1" x14ac:dyDescent="0.25">
      <c r="B31" s="393"/>
      <c r="C31" s="394" t="s">
        <v>409</v>
      </c>
      <c r="D31" s="394"/>
      <c r="E31" s="394"/>
      <c r="F31" s="394"/>
      <c r="G31" s="394"/>
      <c r="H31" s="394"/>
      <c r="I31" s="394"/>
      <c r="J31" s="394"/>
      <c r="K31" s="394"/>
      <c r="L31" s="394"/>
      <c r="M31" s="394"/>
      <c r="N31" s="394"/>
      <c r="O31" s="394"/>
      <c r="P31" s="37"/>
    </row>
    <row r="32" spans="2:16" ht="12.95" customHeight="1" x14ac:dyDescent="0.25">
      <c r="B32" s="393"/>
      <c r="C32" s="395"/>
      <c r="D32" s="395"/>
      <c r="E32" s="395"/>
      <c r="F32" s="395"/>
      <c r="G32" s="395"/>
      <c r="H32" s="395"/>
      <c r="I32" s="395"/>
      <c r="J32" s="395"/>
      <c r="K32" s="395"/>
      <c r="L32" s="395"/>
      <c r="M32" s="395"/>
      <c r="N32" s="395"/>
      <c r="O32" s="395"/>
      <c r="P32" s="37"/>
    </row>
    <row r="33" spans="2:16" ht="12.95" customHeight="1" x14ac:dyDescent="0.25">
      <c r="B33" s="393"/>
      <c r="C33" s="396"/>
      <c r="D33" s="345"/>
      <c r="E33" s="345"/>
      <c r="F33" s="345"/>
      <c r="G33" s="345"/>
      <c r="H33" s="345"/>
      <c r="I33" s="345"/>
      <c r="J33" s="345"/>
      <c r="K33" s="345"/>
      <c r="L33" s="345"/>
      <c r="M33" s="345"/>
      <c r="N33" s="345"/>
      <c r="O33" s="345"/>
    </row>
    <row r="34" spans="2:16" ht="12.95" customHeight="1" x14ac:dyDescent="0.25">
      <c r="B34" s="393"/>
      <c r="C34" s="397" t="s">
        <v>408</v>
      </c>
      <c r="D34" s="397"/>
      <c r="E34" s="397"/>
      <c r="F34" s="397"/>
      <c r="G34" s="397"/>
      <c r="H34" s="397"/>
      <c r="I34" s="397"/>
      <c r="J34" s="397"/>
      <c r="K34" s="397"/>
      <c r="L34" s="397"/>
      <c r="M34" s="397"/>
      <c r="N34" s="397"/>
      <c r="O34" s="397"/>
      <c r="P34" s="37"/>
    </row>
    <row r="35" spans="2:16" ht="12.95" customHeight="1" x14ac:dyDescent="0.25">
      <c r="B35" s="393"/>
      <c r="C35" s="345"/>
      <c r="D35" s="345"/>
      <c r="E35" s="345"/>
      <c r="F35" s="345"/>
      <c r="G35" s="345"/>
      <c r="H35" s="345"/>
      <c r="I35" s="345"/>
      <c r="J35" s="345"/>
      <c r="K35" s="345"/>
      <c r="L35" s="345"/>
      <c r="M35" s="345"/>
      <c r="N35" s="345"/>
      <c r="O35" s="345"/>
      <c r="P35" s="37"/>
    </row>
    <row r="36" spans="2:16" ht="12.95" customHeight="1" thickBot="1" x14ac:dyDescent="0.3">
      <c r="B36" s="398"/>
      <c r="C36" s="399"/>
      <c r="D36" s="399"/>
      <c r="E36" s="399"/>
      <c r="F36" s="399"/>
      <c r="G36" s="399"/>
      <c r="H36" s="399"/>
      <c r="I36" s="399"/>
      <c r="J36" s="399"/>
      <c r="K36" s="399"/>
      <c r="L36" s="399"/>
      <c r="M36" s="399"/>
      <c r="N36" s="399"/>
      <c r="O36" s="399"/>
      <c r="P36" s="37"/>
    </row>
    <row r="37" spans="2:16" ht="12.95" customHeight="1" x14ac:dyDescent="0.25">
      <c r="B37" s="400"/>
      <c r="C37" s="400"/>
      <c r="D37" s="400"/>
      <c r="E37" s="401"/>
      <c r="F37" s="400"/>
      <c r="G37" s="400"/>
      <c r="H37" s="400"/>
      <c r="I37" s="400"/>
      <c r="J37" s="400"/>
      <c r="K37" s="400"/>
      <c r="L37" s="400"/>
      <c r="M37" s="400"/>
      <c r="N37" s="400"/>
      <c r="O37" s="402"/>
      <c r="P37" s="37"/>
    </row>
    <row r="38" spans="2:16" ht="12.95" customHeight="1" x14ac:dyDescent="0.25">
      <c r="B38" s="400"/>
      <c r="C38" s="400"/>
      <c r="D38" s="400"/>
      <c r="E38" s="401"/>
      <c r="F38" s="400"/>
      <c r="G38" s="400"/>
      <c r="H38" s="400"/>
      <c r="I38" s="400"/>
      <c r="J38" s="400"/>
      <c r="K38" s="400"/>
      <c r="L38" s="400"/>
      <c r="M38" s="400"/>
      <c r="N38" s="400"/>
      <c r="O38" s="402"/>
      <c r="P38" s="37"/>
    </row>
    <row r="39" spans="2:16" ht="12.95" customHeight="1" x14ac:dyDescent="0.25">
      <c r="B39" s="400"/>
      <c r="C39" s="400"/>
      <c r="D39" s="400"/>
      <c r="E39" s="401"/>
      <c r="F39" s="400"/>
      <c r="G39" s="400"/>
      <c r="H39" s="400"/>
      <c r="I39" s="400"/>
      <c r="J39" s="400"/>
      <c r="K39" s="400"/>
      <c r="L39" s="400"/>
      <c r="M39" s="400"/>
      <c r="N39" s="400"/>
      <c r="O39" s="402"/>
      <c r="P39" s="37"/>
    </row>
    <row r="40" spans="2:16" ht="12.95" customHeight="1" x14ac:dyDescent="0.25">
      <c r="B40" s="328"/>
      <c r="C40" s="328"/>
      <c r="D40" s="328"/>
      <c r="E40" s="329"/>
      <c r="F40" s="328"/>
      <c r="G40" s="328"/>
      <c r="H40" s="328"/>
      <c r="I40" s="328"/>
      <c r="J40" s="328"/>
      <c r="K40" s="328"/>
      <c r="L40" s="328"/>
      <c r="M40" s="328"/>
      <c r="N40" s="328"/>
      <c r="O40" s="330"/>
      <c r="P40" s="37"/>
    </row>
    <row r="41" spans="2:16" ht="12.95" customHeight="1" x14ac:dyDescent="0.25">
      <c r="B41" s="328"/>
      <c r="C41" s="328"/>
      <c r="D41" s="328"/>
      <c r="E41" s="329"/>
      <c r="F41" s="328"/>
      <c r="G41" s="328"/>
      <c r="H41" s="328"/>
      <c r="I41" s="328"/>
      <c r="J41" s="328"/>
      <c r="K41" s="328"/>
      <c r="L41" s="328"/>
      <c r="M41" s="328"/>
      <c r="N41" s="328"/>
      <c r="O41" s="330"/>
      <c r="P41" s="37"/>
    </row>
    <row r="42" spans="2:16" ht="12.95" customHeight="1" x14ac:dyDescent="0.25">
      <c r="B42" s="328"/>
      <c r="C42" s="328"/>
      <c r="D42" s="328"/>
      <c r="E42" s="329"/>
      <c r="F42" s="328"/>
      <c r="G42" s="328"/>
      <c r="H42" s="328"/>
      <c r="I42" s="328"/>
      <c r="J42" s="328"/>
      <c r="K42" s="328"/>
      <c r="L42" s="328"/>
      <c r="M42" s="328"/>
      <c r="N42" s="328"/>
      <c r="O42" s="330"/>
      <c r="P42" s="37"/>
    </row>
    <row r="43" spans="2:16" ht="12.75" customHeight="1" x14ac:dyDescent="0.25">
      <c r="B43" s="328"/>
      <c r="C43" s="328"/>
      <c r="D43" s="328"/>
      <c r="E43" s="331"/>
      <c r="F43" s="328"/>
      <c r="G43" s="328"/>
      <c r="H43" s="328"/>
      <c r="I43" s="328"/>
      <c r="J43" s="328"/>
      <c r="K43" s="328"/>
      <c r="L43" s="328"/>
      <c r="M43" s="328"/>
      <c r="N43" s="328"/>
      <c r="O43" s="330"/>
      <c r="P43" s="37"/>
    </row>
    <row r="44" spans="2:16" ht="18" customHeight="1" x14ac:dyDescent="0.25">
      <c r="B44" s="332"/>
      <c r="C44" s="332"/>
      <c r="D44" s="333"/>
      <c r="E44" s="333"/>
      <c r="F44" s="334"/>
      <c r="G44" s="335"/>
      <c r="H44" s="335"/>
      <c r="I44" s="335"/>
      <c r="J44" s="335"/>
      <c r="K44" s="335"/>
      <c r="L44" s="335"/>
      <c r="M44" s="335"/>
      <c r="N44" s="335"/>
      <c r="O44" s="335"/>
      <c r="P44" s="32"/>
    </row>
    <row r="45" spans="2:16" ht="17.25" customHeight="1" x14ac:dyDescent="0.25">
      <c r="B45" s="332"/>
      <c r="C45" s="332"/>
      <c r="D45" s="336"/>
      <c r="E45" s="336"/>
      <c r="F45" s="334"/>
      <c r="G45" s="337"/>
      <c r="H45" s="337"/>
      <c r="I45" s="337"/>
      <c r="J45" s="337"/>
      <c r="K45" s="337"/>
      <c r="L45" s="337"/>
      <c r="M45" s="337"/>
      <c r="N45" s="337"/>
      <c r="O45" s="337"/>
      <c r="P45" s="33"/>
    </row>
    <row r="46" spans="2:16" ht="23.25" customHeight="1" x14ac:dyDescent="0.25">
      <c r="B46" s="332"/>
      <c r="C46" s="332"/>
      <c r="D46" s="338"/>
      <c r="E46" s="338"/>
      <c r="F46" s="334"/>
      <c r="G46" s="338"/>
      <c r="H46" s="338"/>
      <c r="I46" s="338"/>
      <c r="J46" s="338"/>
      <c r="K46" s="338"/>
      <c r="L46" s="338"/>
      <c r="M46" s="338"/>
      <c r="N46" s="338"/>
      <c r="O46" s="338"/>
      <c r="P46" s="34"/>
    </row>
    <row r="47" spans="2:16" ht="18" customHeight="1" x14ac:dyDescent="0.25">
      <c r="B47" s="332"/>
      <c r="C47" s="332"/>
      <c r="D47" s="337"/>
      <c r="E47" s="337"/>
      <c r="F47" s="334"/>
      <c r="G47" s="332"/>
      <c r="H47" s="332"/>
      <c r="I47" s="332"/>
      <c r="J47" s="332"/>
      <c r="K47" s="332"/>
      <c r="L47" s="332"/>
      <c r="M47" s="332"/>
      <c r="N47" s="332"/>
      <c r="O47" s="332"/>
      <c r="P47" s="35"/>
    </row>
    <row r="48" spans="2:16" ht="15" customHeight="1" x14ac:dyDescent="0.25">
      <c r="B48" s="339"/>
      <c r="C48" s="339"/>
      <c r="D48" s="340"/>
      <c r="E48" s="339"/>
      <c r="F48" s="334"/>
      <c r="G48" s="339"/>
      <c r="H48" s="339"/>
      <c r="I48" s="339"/>
      <c r="J48" s="339"/>
      <c r="K48" s="339"/>
      <c r="L48" s="339"/>
      <c r="M48" s="339"/>
      <c r="N48" s="339"/>
      <c r="O48" s="341"/>
      <c r="P48" s="36"/>
    </row>
    <row r="49" spans="2:17" ht="12.95" customHeight="1" x14ac:dyDescent="0.25">
      <c r="B49" s="328"/>
      <c r="C49" s="328"/>
      <c r="D49" s="328"/>
      <c r="E49" s="329"/>
      <c r="F49" s="328"/>
      <c r="G49" s="328"/>
      <c r="H49" s="328"/>
      <c r="I49" s="328"/>
      <c r="J49" s="328"/>
      <c r="K49" s="328"/>
      <c r="L49" s="328"/>
      <c r="M49" s="328"/>
      <c r="N49" s="328"/>
      <c r="O49" s="330"/>
      <c r="P49" s="37"/>
    </row>
    <row r="50" spans="2:17" s="12" customFormat="1" ht="24.75" customHeight="1" x14ac:dyDescent="0.25">
      <c r="B50" s="328"/>
      <c r="C50" s="328"/>
      <c r="D50" s="328"/>
      <c r="E50" s="331"/>
      <c r="F50" s="328"/>
      <c r="G50" s="328"/>
      <c r="H50" s="328"/>
      <c r="I50" s="328"/>
      <c r="J50" s="328"/>
      <c r="K50" s="328"/>
      <c r="L50" s="328"/>
      <c r="M50" s="328"/>
      <c r="N50" s="328"/>
      <c r="O50" s="330"/>
      <c r="P50" s="37"/>
      <c r="Q50" s="39"/>
    </row>
    <row r="51" spans="2:17" ht="12.95" customHeight="1" x14ac:dyDescent="0.25">
      <c r="B51" s="328"/>
      <c r="C51" s="328"/>
      <c r="D51" s="328"/>
      <c r="E51" s="331"/>
      <c r="F51" s="328"/>
      <c r="G51" s="328"/>
      <c r="H51" s="328"/>
      <c r="I51" s="328"/>
      <c r="J51" s="328"/>
      <c r="K51" s="328"/>
      <c r="L51" s="328"/>
      <c r="M51" s="328"/>
      <c r="N51" s="328"/>
      <c r="O51" s="330"/>
      <c r="P51" s="37"/>
      <c r="Q51" s="40"/>
    </row>
    <row r="52" spans="2:17" ht="12.95" customHeight="1" x14ac:dyDescent="0.25">
      <c r="B52" s="328"/>
      <c r="C52" s="328"/>
      <c r="D52" s="328"/>
      <c r="E52" s="331"/>
      <c r="F52" s="328"/>
      <c r="G52" s="328"/>
      <c r="H52" s="328"/>
      <c r="I52" s="328"/>
      <c r="J52" s="328"/>
      <c r="K52" s="328"/>
      <c r="L52" s="328"/>
      <c r="M52" s="328"/>
      <c r="N52" s="328"/>
      <c r="O52" s="330"/>
      <c r="P52" s="37"/>
      <c r="Q52" s="40"/>
    </row>
    <row r="53" spans="2:17" ht="12.95" customHeight="1" x14ac:dyDescent="0.25">
      <c r="B53" s="328"/>
      <c r="C53" s="328"/>
      <c r="D53" s="328"/>
      <c r="E53" s="331"/>
      <c r="F53" s="328"/>
      <c r="G53" s="328"/>
      <c r="H53" s="328"/>
      <c r="I53" s="328"/>
      <c r="J53" s="328"/>
      <c r="K53" s="328"/>
      <c r="L53" s="328"/>
      <c r="M53" s="328"/>
      <c r="N53" s="328"/>
      <c r="O53" s="330"/>
      <c r="P53" s="37"/>
      <c r="Q53" s="40"/>
    </row>
    <row r="54" spans="2:17" ht="12.95" customHeight="1" x14ac:dyDescent="0.25">
      <c r="B54" s="328"/>
      <c r="C54" s="328"/>
      <c r="D54" s="328"/>
      <c r="E54" s="331"/>
      <c r="F54" s="328"/>
      <c r="G54" s="328"/>
      <c r="H54" s="328"/>
      <c r="I54" s="328"/>
      <c r="J54" s="328"/>
      <c r="K54" s="328"/>
      <c r="L54" s="328"/>
      <c r="M54" s="328"/>
      <c r="N54" s="328"/>
      <c r="O54" s="330"/>
      <c r="P54" s="37"/>
      <c r="Q54" s="40"/>
    </row>
    <row r="55" spans="2:17" ht="12.95" customHeight="1" x14ac:dyDescent="0.25">
      <c r="B55" s="328"/>
      <c r="C55" s="328"/>
      <c r="D55" s="328"/>
      <c r="E55" s="342"/>
      <c r="F55" s="328"/>
      <c r="G55" s="328"/>
      <c r="H55" s="328"/>
      <c r="I55" s="328"/>
      <c r="J55" s="328"/>
      <c r="K55" s="328"/>
      <c r="L55" s="328"/>
      <c r="M55" s="328"/>
      <c r="N55" s="328"/>
      <c r="O55" s="330"/>
      <c r="P55" s="37"/>
      <c r="Q55" s="40"/>
    </row>
    <row r="56" spans="2:17" ht="12.95" customHeight="1" x14ac:dyDescent="0.25">
      <c r="B56" s="328"/>
      <c r="C56" s="328"/>
      <c r="D56" s="328"/>
      <c r="E56" s="329"/>
      <c r="F56" s="328"/>
      <c r="G56" s="328"/>
      <c r="H56" s="328"/>
      <c r="I56" s="328"/>
      <c r="J56" s="328"/>
      <c r="K56" s="328"/>
      <c r="L56" s="328"/>
      <c r="M56" s="328"/>
      <c r="N56" s="328"/>
      <c r="O56" s="330"/>
      <c r="P56" s="37"/>
      <c r="Q56" s="40"/>
    </row>
    <row r="57" spans="2:17" ht="12.95" customHeight="1" x14ac:dyDescent="0.25">
      <c r="B57" s="328"/>
      <c r="C57" s="328"/>
      <c r="D57" s="328"/>
      <c r="E57" s="343"/>
      <c r="F57" s="328"/>
      <c r="G57" s="328"/>
      <c r="H57" s="328"/>
      <c r="I57" s="328"/>
      <c r="J57" s="328"/>
      <c r="K57" s="328"/>
      <c r="L57" s="328"/>
      <c r="M57" s="328"/>
      <c r="N57" s="328"/>
      <c r="O57" s="330"/>
      <c r="P57" s="37"/>
      <c r="Q57" s="40"/>
    </row>
    <row r="58" spans="2:17" ht="12.75" customHeight="1" x14ac:dyDescent="0.25">
      <c r="B58" s="328"/>
      <c r="C58" s="328"/>
      <c r="D58" s="328"/>
      <c r="E58" s="343"/>
      <c r="F58" s="328"/>
      <c r="G58" s="328"/>
      <c r="H58" s="328"/>
      <c r="I58" s="328"/>
      <c r="J58" s="328"/>
      <c r="K58" s="328"/>
      <c r="L58" s="328"/>
      <c r="M58" s="328"/>
      <c r="N58" s="328"/>
      <c r="O58" s="330"/>
      <c r="P58" s="13"/>
      <c r="Q58" s="40"/>
    </row>
    <row r="59" spans="2:17" ht="24.75" customHeight="1" x14ac:dyDescent="0.25">
      <c r="B59" s="328"/>
      <c r="C59" s="328"/>
      <c r="D59" s="328"/>
      <c r="E59" s="344"/>
      <c r="F59" s="328"/>
      <c r="G59" s="328"/>
      <c r="H59" s="328"/>
      <c r="I59" s="328"/>
      <c r="J59" s="328"/>
      <c r="K59" s="328"/>
      <c r="L59" s="328"/>
      <c r="M59" s="328"/>
      <c r="N59" s="328"/>
      <c r="O59" s="330"/>
      <c r="P59" s="37"/>
      <c r="Q59" s="40"/>
    </row>
    <row r="60" spans="2:17" ht="24.75" customHeight="1" x14ac:dyDescent="0.25">
      <c r="B60" s="328"/>
      <c r="C60" s="328"/>
      <c r="D60" s="328"/>
      <c r="E60" s="344"/>
      <c r="F60" s="328"/>
      <c r="G60" s="328"/>
      <c r="H60" s="328"/>
      <c r="I60" s="328"/>
      <c r="J60" s="328"/>
      <c r="K60" s="328"/>
      <c r="L60" s="328"/>
      <c r="M60" s="328"/>
      <c r="N60" s="328"/>
      <c r="O60" s="330"/>
      <c r="P60" s="37"/>
      <c r="Q60" s="40"/>
    </row>
    <row r="61" spans="2:17" ht="24.75" customHeight="1" x14ac:dyDescent="0.25">
      <c r="B61" s="328"/>
      <c r="C61" s="328"/>
      <c r="D61" s="328"/>
      <c r="E61" s="344"/>
      <c r="F61" s="328"/>
      <c r="G61" s="328"/>
      <c r="H61" s="328"/>
      <c r="I61" s="328"/>
      <c r="J61" s="328"/>
      <c r="K61" s="328"/>
      <c r="L61" s="328"/>
      <c r="M61" s="328"/>
      <c r="N61" s="328"/>
      <c r="O61" s="330"/>
      <c r="P61" s="37"/>
      <c r="Q61" s="40"/>
    </row>
    <row r="62" spans="2:17" ht="24.75" customHeight="1" x14ac:dyDescent="0.25">
      <c r="B62" s="328"/>
      <c r="C62" s="328"/>
      <c r="D62" s="328"/>
      <c r="E62" s="344"/>
      <c r="F62" s="328"/>
      <c r="G62" s="328"/>
      <c r="H62" s="328"/>
      <c r="I62" s="328"/>
      <c r="J62" s="328"/>
      <c r="K62" s="328"/>
      <c r="L62" s="328"/>
      <c r="M62" s="328"/>
      <c r="N62" s="328"/>
      <c r="O62" s="330"/>
      <c r="P62" s="37"/>
      <c r="Q62" s="40"/>
    </row>
    <row r="63" spans="2:17" ht="12.95" customHeight="1" x14ac:dyDescent="0.25">
      <c r="P63" s="37"/>
      <c r="Q63" s="40"/>
    </row>
    <row r="64" spans="2:17" ht="12.95" customHeight="1" x14ac:dyDescent="0.25">
      <c r="B64" s="80"/>
      <c r="C64" s="69"/>
      <c r="D64" s="69"/>
      <c r="E64" s="81"/>
      <c r="F64" s="17"/>
      <c r="G64" s="69"/>
      <c r="H64" s="69"/>
      <c r="I64" s="69"/>
      <c r="J64" s="69"/>
      <c r="K64" s="69"/>
      <c r="L64" s="69"/>
      <c r="M64" s="69"/>
      <c r="N64" s="69"/>
      <c r="O64" s="13"/>
      <c r="P64" s="37"/>
    </row>
    <row r="65" spans="2:16" ht="12.95" customHeight="1" x14ac:dyDescent="0.25">
      <c r="B65" s="82"/>
      <c r="C65" s="17"/>
      <c r="D65" s="17"/>
      <c r="E65" s="74"/>
      <c r="F65" s="75"/>
      <c r="G65" s="17"/>
      <c r="H65" s="17"/>
      <c r="I65" s="17"/>
      <c r="J65" s="17"/>
      <c r="K65" s="17"/>
      <c r="L65" s="17"/>
      <c r="M65" s="17"/>
      <c r="N65" s="17"/>
      <c r="O65" s="83"/>
      <c r="P65" s="37"/>
    </row>
    <row r="66" spans="2:16" ht="12.95" customHeight="1" x14ac:dyDescent="0.25">
      <c r="B66" s="17"/>
      <c r="C66" s="17"/>
      <c r="D66" s="17"/>
      <c r="E66" s="74"/>
      <c r="F66" s="75"/>
      <c r="G66" s="17"/>
      <c r="H66" s="17"/>
      <c r="I66" s="17"/>
      <c r="J66" s="17"/>
      <c r="K66" s="17"/>
      <c r="L66" s="17"/>
      <c r="M66" s="17"/>
      <c r="N66" s="17"/>
      <c r="O66" s="83"/>
      <c r="P66" s="37"/>
    </row>
    <row r="67" spans="2:16" ht="12.95" customHeight="1" x14ac:dyDescent="0.25">
      <c r="B67" s="82"/>
      <c r="C67" s="17"/>
      <c r="D67" s="17"/>
      <c r="E67" s="74"/>
      <c r="F67" s="75"/>
      <c r="G67" s="17"/>
      <c r="H67" s="17"/>
      <c r="I67" s="17"/>
      <c r="J67" s="17"/>
      <c r="K67" s="17"/>
      <c r="L67" s="17"/>
      <c r="M67" s="17"/>
      <c r="N67" s="17"/>
      <c r="O67" s="83"/>
      <c r="P67" s="37"/>
    </row>
    <row r="68" spans="2:16" ht="12.95" customHeight="1" x14ac:dyDescent="0.25">
      <c r="B68" s="75"/>
      <c r="C68" s="17"/>
      <c r="D68" s="17"/>
      <c r="E68" s="74"/>
      <c r="F68" s="75"/>
      <c r="G68" s="17"/>
      <c r="H68" s="17"/>
      <c r="I68" s="17"/>
      <c r="J68" s="17"/>
      <c r="K68" s="17"/>
      <c r="L68" s="17"/>
      <c r="M68" s="17"/>
      <c r="N68" s="17"/>
      <c r="O68" s="83"/>
      <c r="P68" s="37"/>
    </row>
    <row r="69" spans="2:16" ht="12.95" customHeight="1" x14ac:dyDescent="0.25">
      <c r="B69" s="17"/>
      <c r="C69" s="17"/>
      <c r="D69" s="17"/>
      <c r="E69" s="74"/>
      <c r="F69" s="75"/>
      <c r="G69" s="17"/>
      <c r="H69" s="17"/>
      <c r="I69" s="17"/>
      <c r="J69" s="17"/>
      <c r="K69" s="17"/>
      <c r="L69" s="17"/>
      <c r="M69" s="17"/>
      <c r="N69" s="17"/>
      <c r="O69" s="83"/>
      <c r="P69" s="37"/>
    </row>
    <row r="70" spans="2:16" ht="24.75" customHeight="1" x14ac:dyDescent="0.25">
      <c r="B70" s="75"/>
      <c r="C70" s="17"/>
      <c r="D70" s="17"/>
      <c r="E70" s="79"/>
      <c r="F70" s="75"/>
      <c r="G70" s="17"/>
      <c r="H70" s="17"/>
      <c r="I70" s="17"/>
      <c r="J70" s="17"/>
      <c r="K70" s="17"/>
      <c r="L70" s="17"/>
      <c r="M70" s="17"/>
      <c r="N70" s="17"/>
      <c r="O70" s="83"/>
      <c r="P70" s="37"/>
    </row>
    <row r="71" spans="2:16" ht="12.95" customHeight="1" x14ac:dyDescent="0.25">
      <c r="B71" s="17"/>
      <c r="C71" s="17"/>
      <c r="D71" s="17"/>
      <c r="E71" s="84"/>
      <c r="F71" s="75"/>
      <c r="G71" s="17"/>
      <c r="H71" s="17"/>
      <c r="I71" s="17"/>
      <c r="J71" s="17"/>
      <c r="K71" s="17"/>
      <c r="L71" s="17"/>
      <c r="M71" s="17"/>
      <c r="N71" s="17"/>
      <c r="O71" s="83"/>
      <c r="P71" s="37"/>
    </row>
    <row r="72" spans="2:16" ht="12.95" customHeight="1" x14ac:dyDescent="0.25">
      <c r="B72" s="75"/>
      <c r="C72" s="17"/>
      <c r="D72" s="17"/>
      <c r="E72" s="85"/>
      <c r="F72" s="75"/>
      <c r="G72" s="17"/>
      <c r="H72" s="17"/>
      <c r="I72" s="17"/>
      <c r="J72" s="17"/>
      <c r="K72" s="17"/>
      <c r="L72" s="17"/>
      <c r="M72" s="17"/>
      <c r="N72" s="17"/>
      <c r="O72" s="13"/>
      <c r="P72" s="37"/>
    </row>
    <row r="73" spans="2:16" ht="12.95" customHeight="1" x14ac:dyDescent="0.25">
      <c r="B73" s="17"/>
      <c r="C73" s="17"/>
      <c r="D73" s="17"/>
      <c r="E73" s="84"/>
      <c r="F73" s="75"/>
      <c r="G73" s="17"/>
      <c r="H73" s="17"/>
      <c r="I73" s="17"/>
      <c r="J73" s="17"/>
      <c r="K73" s="17"/>
      <c r="L73" s="17"/>
      <c r="M73" s="17"/>
      <c r="N73" s="17"/>
      <c r="O73" s="13"/>
      <c r="P73" s="37"/>
    </row>
    <row r="74" spans="2:16" ht="12.95" customHeight="1" x14ac:dyDescent="0.25">
      <c r="P74" s="37"/>
    </row>
    <row r="75" spans="2:16" ht="18" customHeight="1" x14ac:dyDescent="0.25">
      <c r="B75" s="255"/>
      <c r="C75" s="255"/>
      <c r="D75" s="256"/>
      <c r="E75" s="256"/>
      <c r="F75" s="76"/>
      <c r="G75" s="257"/>
      <c r="H75" s="257"/>
      <c r="I75" s="257"/>
      <c r="J75" s="257"/>
      <c r="K75" s="257"/>
      <c r="L75" s="257"/>
      <c r="M75" s="257"/>
      <c r="N75" s="257"/>
      <c r="O75" s="257"/>
      <c r="P75" s="32"/>
    </row>
    <row r="76" spans="2:16" ht="17.25" customHeight="1" x14ac:dyDescent="0.25">
      <c r="B76" s="255"/>
      <c r="C76" s="255"/>
      <c r="D76" s="258"/>
      <c r="E76" s="258"/>
      <c r="F76" s="76"/>
      <c r="G76" s="259"/>
      <c r="H76" s="259"/>
      <c r="I76" s="259"/>
      <c r="J76" s="259"/>
      <c r="K76" s="259"/>
      <c r="L76" s="259"/>
      <c r="M76" s="259"/>
      <c r="N76" s="259"/>
      <c r="O76" s="259"/>
      <c r="P76" s="33"/>
    </row>
    <row r="77" spans="2:16" ht="23.25" customHeight="1" x14ac:dyDescent="0.25">
      <c r="B77" s="255"/>
      <c r="C77" s="255"/>
      <c r="D77" s="260"/>
      <c r="E77" s="260"/>
      <c r="F77" s="76"/>
      <c r="G77" s="260"/>
      <c r="H77" s="260"/>
      <c r="I77" s="260"/>
      <c r="J77" s="260"/>
      <c r="K77" s="260"/>
      <c r="L77" s="260"/>
      <c r="M77" s="260"/>
      <c r="N77" s="260"/>
      <c r="O77" s="260"/>
      <c r="P77" s="34"/>
    </row>
    <row r="78" spans="2:16" ht="18" customHeight="1" x14ac:dyDescent="0.25">
      <c r="B78" s="255"/>
      <c r="C78" s="255"/>
      <c r="D78" s="259"/>
      <c r="E78" s="259"/>
      <c r="F78" s="76"/>
      <c r="G78" s="255"/>
      <c r="H78" s="255"/>
      <c r="I78" s="255"/>
      <c r="J78" s="255"/>
      <c r="K78" s="255"/>
      <c r="L78" s="255"/>
      <c r="M78" s="255"/>
      <c r="N78" s="255"/>
      <c r="O78" s="255"/>
      <c r="P78" s="35"/>
    </row>
    <row r="79" spans="2:16" ht="18" customHeight="1" x14ac:dyDescent="0.25">
      <c r="B79" s="36"/>
      <c r="C79" s="36"/>
      <c r="D79" s="77"/>
      <c r="E79" s="36"/>
      <c r="F79" s="76"/>
      <c r="G79" s="36"/>
      <c r="H79" s="36"/>
      <c r="I79" s="36"/>
      <c r="J79" s="36"/>
      <c r="K79" s="36"/>
      <c r="L79" s="36"/>
      <c r="M79" s="36"/>
      <c r="N79" s="36"/>
      <c r="O79" s="78"/>
      <c r="P79" s="36"/>
    </row>
    <row r="80" spans="2:16" ht="12.95" customHeight="1" x14ac:dyDescent="0.25">
      <c r="B80" s="75"/>
      <c r="C80" s="17"/>
      <c r="D80" s="17"/>
      <c r="E80" s="84"/>
      <c r="F80" s="75"/>
      <c r="G80" s="17"/>
      <c r="H80" s="17"/>
      <c r="I80" s="17"/>
      <c r="J80" s="17"/>
      <c r="K80" s="17"/>
      <c r="L80" s="17"/>
      <c r="M80" s="17"/>
      <c r="N80" s="17"/>
      <c r="O80" s="13"/>
      <c r="P80" s="37"/>
    </row>
    <row r="81" spans="2:16" ht="12.75" customHeight="1" x14ac:dyDescent="0.25">
      <c r="B81" s="17"/>
      <c r="C81" s="17"/>
      <c r="D81" s="17"/>
      <c r="E81" s="84"/>
      <c r="F81" s="75"/>
      <c r="G81" s="17"/>
      <c r="H81" s="17"/>
      <c r="I81" s="17"/>
      <c r="J81" s="17"/>
      <c r="K81" s="17"/>
      <c r="L81" s="17"/>
      <c r="M81" s="17"/>
      <c r="N81" s="17"/>
      <c r="O81" s="13"/>
      <c r="P81" s="37"/>
    </row>
    <row r="82" spans="2:16" ht="12.95" customHeight="1" x14ac:dyDescent="0.25">
      <c r="B82" s="75"/>
      <c r="C82" s="17"/>
      <c r="D82" s="17"/>
      <c r="E82" s="84"/>
      <c r="F82" s="75"/>
      <c r="G82" s="17"/>
      <c r="H82" s="17"/>
      <c r="I82" s="17"/>
      <c r="J82" s="17"/>
      <c r="K82" s="17"/>
      <c r="L82" s="17"/>
      <c r="M82" s="17"/>
      <c r="N82" s="17"/>
      <c r="O82" s="13"/>
      <c r="P82" s="37"/>
    </row>
    <row r="83" spans="2:16" ht="24.75" customHeight="1" x14ac:dyDescent="0.25">
      <c r="B83" s="75"/>
      <c r="C83" s="17"/>
      <c r="D83" s="17"/>
      <c r="E83" s="73"/>
      <c r="F83" s="75"/>
      <c r="G83" s="17"/>
      <c r="H83" s="17"/>
      <c r="I83" s="17"/>
      <c r="J83" s="17"/>
      <c r="K83" s="17"/>
      <c r="L83" s="17"/>
      <c r="M83" s="17"/>
      <c r="N83" s="17"/>
      <c r="O83" s="13"/>
      <c r="P83" s="37"/>
    </row>
    <row r="84" spans="2:16" ht="12.95" customHeight="1" x14ac:dyDescent="0.25">
      <c r="B84" s="75"/>
      <c r="C84" s="17"/>
      <c r="D84" s="17"/>
      <c r="E84" s="84"/>
      <c r="F84" s="75"/>
      <c r="G84" s="17"/>
      <c r="H84" s="17"/>
      <c r="I84" s="17"/>
      <c r="J84" s="17"/>
      <c r="K84" s="17"/>
      <c r="L84" s="17"/>
      <c r="M84" s="17"/>
      <c r="N84" s="17"/>
      <c r="O84" s="13"/>
      <c r="P84" s="37"/>
    </row>
    <row r="85" spans="2:16" ht="12.95" customHeight="1" x14ac:dyDescent="0.25">
      <c r="B85" s="17"/>
      <c r="C85" s="17"/>
      <c r="D85" s="17"/>
      <c r="E85" s="84"/>
      <c r="F85" s="75"/>
      <c r="G85" s="17"/>
      <c r="H85" s="17"/>
      <c r="I85" s="17"/>
      <c r="J85" s="17"/>
      <c r="K85" s="17"/>
      <c r="L85" s="17"/>
      <c r="M85" s="17"/>
      <c r="N85" s="17"/>
      <c r="O85" s="13"/>
      <c r="P85" s="37"/>
    </row>
    <row r="86" spans="2:16" ht="12.95" customHeight="1" x14ac:dyDescent="0.25">
      <c r="B86" s="75"/>
      <c r="C86" s="17"/>
      <c r="D86" s="17"/>
      <c r="E86" s="43"/>
      <c r="F86" s="75"/>
      <c r="G86" s="17"/>
      <c r="H86" s="17"/>
      <c r="I86" s="17"/>
      <c r="J86" s="17"/>
      <c r="K86" s="17"/>
      <c r="L86" s="17"/>
      <c r="M86" s="17"/>
      <c r="N86" s="17"/>
      <c r="O86" s="13"/>
      <c r="P86" s="37"/>
    </row>
    <row r="87" spans="2:16" ht="12.95" customHeight="1" x14ac:dyDescent="0.25">
      <c r="B87" s="17"/>
      <c r="C87" s="17"/>
      <c r="D87" s="17"/>
      <c r="E87" s="86"/>
      <c r="F87" s="75"/>
      <c r="G87" s="17"/>
      <c r="H87" s="17"/>
      <c r="I87" s="17"/>
      <c r="J87" s="17"/>
      <c r="K87" s="17"/>
      <c r="L87" s="17"/>
      <c r="M87" s="17"/>
      <c r="N87" s="17"/>
      <c r="O87" s="13"/>
      <c r="P87" s="37"/>
    </row>
    <row r="88" spans="2:16" ht="12.95" customHeight="1" x14ac:dyDescent="0.25">
      <c r="B88" s="17"/>
      <c r="C88" s="17"/>
      <c r="D88" s="17"/>
      <c r="E88" s="87"/>
      <c r="F88" s="17"/>
      <c r="G88" s="17"/>
      <c r="H88" s="17"/>
      <c r="I88" s="17"/>
      <c r="J88" s="17"/>
      <c r="K88" s="17"/>
      <c r="L88" s="17"/>
      <c r="M88" s="17"/>
      <c r="N88" s="17"/>
      <c r="O88" s="13"/>
      <c r="P88" s="37"/>
    </row>
    <row r="89" spans="2:16" ht="12.95" customHeight="1" x14ac:dyDescent="0.25">
      <c r="B89" s="17"/>
      <c r="C89" s="17"/>
      <c r="D89" s="17"/>
      <c r="E89" s="62"/>
      <c r="F89" s="17"/>
      <c r="G89" s="17"/>
      <c r="H89" s="17"/>
      <c r="I89" s="17"/>
      <c r="J89" s="17"/>
      <c r="K89" s="17"/>
      <c r="L89" s="17"/>
      <c r="M89" s="17"/>
      <c r="N89" s="17"/>
      <c r="O89" s="13"/>
      <c r="P89" s="37"/>
    </row>
    <row r="90" spans="2:16" ht="12.95" customHeight="1" x14ac:dyDescent="0.25">
      <c r="B90" s="17"/>
      <c r="C90" s="17"/>
      <c r="D90" s="17"/>
      <c r="E90" s="87"/>
      <c r="F90" s="17"/>
      <c r="G90" s="17"/>
      <c r="H90" s="17"/>
      <c r="I90" s="17"/>
      <c r="J90" s="17"/>
      <c r="K90" s="17"/>
      <c r="L90" s="17"/>
      <c r="M90" s="17"/>
      <c r="N90" s="17"/>
      <c r="O90" s="13"/>
      <c r="P90" s="37"/>
    </row>
    <row r="91" spans="2:16" ht="12.95" customHeight="1" x14ac:dyDescent="0.25">
      <c r="B91" s="17"/>
      <c r="C91" s="17"/>
      <c r="D91" s="17"/>
      <c r="E91" s="87"/>
      <c r="F91" s="17"/>
      <c r="G91" s="17"/>
      <c r="H91" s="17"/>
      <c r="I91" s="17"/>
      <c r="J91" s="17"/>
      <c r="K91" s="17"/>
      <c r="L91" s="17"/>
      <c r="M91" s="17"/>
      <c r="N91" s="17"/>
      <c r="O91" s="13"/>
      <c r="P91" s="37"/>
    </row>
    <row r="92" spans="2:16" ht="12.95" customHeight="1" x14ac:dyDescent="0.25">
      <c r="B92" s="17"/>
      <c r="C92" s="17"/>
      <c r="D92" s="17"/>
      <c r="E92" s="43"/>
      <c r="F92" s="17"/>
      <c r="G92" s="17"/>
      <c r="H92" s="17"/>
      <c r="I92" s="17"/>
      <c r="J92" s="17"/>
      <c r="K92" s="17"/>
      <c r="L92" s="17"/>
      <c r="M92" s="17"/>
      <c r="N92" s="17"/>
      <c r="O92" s="13"/>
      <c r="P92" s="37"/>
    </row>
    <row r="93" spans="2:16" ht="24.2" customHeight="1" x14ac:dyDescent="0.25">
      <c r="B93" s="17"/>
      <c r="C93" s="17"/>
      <c r="D93" s="17"/>
      <c r="E93" s="88"/>
      <c r="F93" s="17"/>
      <c r="G93" s="17"/>
      <c r="H93" s="17"/>
      <c r="I93" s="17"/>
      <c r="J93" s="17"/>
      <c r="K93" s="17"/>
      <c r="L93" s="17"/>
      <c r="M93" s="17"/>
      <c r="N93" s="17"/>
      <c r="O93" s="13"/>
      <c r="P93" s="37"/>
    </row>
    <row r="94" spans="2:16" ht="24.75" customHeight="1" x14ac:dyDescent="0.25">
      <c r="B94" s="17"/>
      <c r="C94" s="17"/>
      <c r="D94" s="17"/>
      <c r="E94" s="88"/>
      <c r="F94" s="42"/>
      <c r="G94" s="17"/>
      <c r="H94" s="17"/>
      <c r="I94" s="17"/>
      <c r="J94" s="17"/>
      <c r="K94" s="17"/>
      <c r="L94" s="17"/>
      <c r="M94" s="17"/>
      <c r="N94" s="17"/>
      <c r="O94" s="13"/>
      <c r="P94" s="37"/>
    </row>
    <row r="95" spans="2:16" ht="12.95" customHeight="1" x14ac:dyDescent="0.25">
      <c r="B95" s="17"/>
      <c r="C95" s="17"/>
      <c r="D95" s="17"/>
      <c r="E95" s="62"/>
      <c r="F95" s="42"/>
      <c r="G95" s="17"/>
      <c r="H95" s="17"/>
      <c r="I95" s="17"/>
      <c r="J95" s="17"/>
      <c r="K95" s="17"/>
      <c r="L95" s="17"/>
      <c r="M95" s="17"/>
      <c r="N95" s="17"/>
      <c r="O95" s="13"/>
      <c r="P95" s="37"/>
    </row>
    <row r="96" spans="2:16" ht="12.95" customHeight="1" x14ac:dyDescent="0.25">
      <c r="B96" s="17"/>
      <c r="C96" s="17"/>
      <c r="D96" s="17"/>
      <c r="E96" s="62"/>
      <c r="F96" s="42"/>
      <c r="G96" s="17"/>
      <c r="H96" s="17"/>
      <c r="I96" s="17"/>
      <c r="J96" s="17"/>
      <c r="K96" s="17"/>
      <c r="L96" s="17"/>
      <c r="M96" s="17"/>
      <c r="N96" s="17"/>
      <c r="O96" s="13"/>
      <c r="P96" s="37"/>
    </row>
    <row r="97" spans="2:16" ht="12.95" customHeight="1" x14ac:dyDescent="0.25">
      <c r="B97" s="17"/>
      <c r="C97" s="17"/>
      <c r="D97" s="17"/>
      <c r="E97" s="62"/>
      <c r="F97" s="42"/>
      <c r="G97" s="17"/>
      <c r="H97" s="17"/>
      <c r="I97" s="17"/>
      <c r="J97" s="17"/>
      <c r="K97" s="17"/>
      <c r="L97" s="17"/>
      <c r="M97" s="17"/>
      <c r="N97" s="17"/>
      <c r="O97" s="13"/>
      <c r="P97" s="37"/>
    </row>
    <row r="98" spans="2:16" ht="12.95" customHeight="1" x14ac:dyDescent="0.25">
      <c r="B98" s="17"/>
      <c r="C98" s="17"/>
      <c r="D98" s="17"/>
      <c r="E98" s="62"/>
      <c r="F98" s="42"/>
      <c r="G98" s="17"/>
      <c r="H98" s="17"/>
      <c r="I98" s="17"/>
      <c r="J98" s="17"/>
      <c r="K98" s="17"/>
      <c r="L98" s="17"/>
      <c r="M98" s="17"/>
      <c r="N98" s="17"/>
      <c r="O98" s="13"/>
      <c r="P98" s="37"/>
    </row>
    <row r="99" spans="2:16" ht="12.95" customHeight="1" x14ac:dyDescent="0.25">
      <c r="B99" s="17"/>
      <c r="C99" s="17"/>
      <c r="D99" s="17"/>
      <c r="E99" s="62"/>
      <c r="F99" s="42"/>
      <c r="G99" s="17"/>
      <c r="H99" s="17"/>
      <c r="I99" s="17"/>
      <c r="J99" s="17"/>
      <c r="K99" s="17"/>
      <c r="L99" s="17"/>
      <c r="M99" s="17"/>
      <c r="N99" s="17"/>
      <c r="O99" s="13"/>
      <c r="P99" s="37"/>
    </row>
    <row r="100" spans="2:16" ht="12.95" customHeight="1" x14ac:dyDescent="0.25">
      <c r="B100" s="17"/>
      <c r="C100" s="17"/>
      <c r="D100" s="17"/>
      <c r="E100" s="62"/>
      <c r="F100" s="42"/>
      <c r="G100" s="17"/>
      <c r="H100" s="17"/>
      <c r="I100" s="17"/>
      <c r="J100" s="17"/>
      <c r="K100" s="17"/>
      <c r="L100" s="17"/>
      <c r="M100" s="17"/>
      <c r="N100" s="17"/>
      <c r="O100" s="13"/>
      <c r="P100" s="37"/>
    </row>
    <row r="101" spans="2:16" ht="12.95" customHeight="1" x14ac:dyDescent="0.25">
      <c r="B101" s="17"/>
      <c r="C101" s="17"/>
      <c r="D101" s="17"/>
      <c r="E101" s="62"/>
      <c r="F101" s="42"/>
      <c r="G101" s="17"/>
      <c r="H101" s="17"/>
      <c r="I101" s="17"/>
      <c r="J101" s="17"/>
      <c r="K101" s="17"/>
      <c r="L101" s="17"/>
      <c r="M101" s="17"/>
      <c r="N101" s="17"/>
      <c r="O101" s="13"/>
      <c r="P101" s="37"/>
    </row>
    <row r="102" spans="2:16" ht="12.95" customHeight="1" x14ac:dyDescent="0.25">
      <c r="B102" s="17"/>
      <c r="C102" s="17"/>
      <c r="D102" s="17"/>
      <c r="E102" s="62"/>
      <c r="F102" s="42"/>
      <c r="G102" s="17"/>
      <c r="H102" s="17"/>
      <c r="I102" s="17"/>
      <c r="J102" s="17"/>
      <c r="K102" s="17"/>
      <c r="L102" s="17"/>
      <c r="M102" s="17"/>
      <c r="N102" s="17"/>
      <c r="O102" s="13"/>
      <c r="P102" s="37"/>
    </row>
    <row r="103" spans="2:16" ht="12.95" customHeight="1" x14ac:dyDescent="0.25">
      <c r="B103" s="17"/>
      <c r="C103" s="17"/>
      <c r="D103" s="17"/>
      <c r="E103" s="62"/>
      <c r="F103" s="42"/>
      <c r="G103" s="17"/>
      <c r="H103" s="17"/>
      <c r="I103" s="17"/>
      <c r="J103" s="17"/>
      <c r="K103" s="17"/>
      <c r="L103" s="17"/>
      <c r="M103" s="17"/>
      <c r="N103" s="17"/>
      <c r="O103" s="13"/>
      <c r="P103" s="37"/>
    </row>
    <row r="104" spans="2:16" ht="12.95" customHeight="1" x14ac:dyDescent="0.25">
      <c r="B104" s="17"/>
      <c r="C104" s="17"/>
      <c r="D104" s="17"/>
      <c r="E104" s="62"/>
      <c r="F104" s="42"/>
      <c r="G104" s="17"/>
      <c r="H104" s="17"/>
      <c r="I104" s="17"/>
      <c r="J104" s="17"/>
      <c r="K104" s="17"/>
      <c r="L104" s="17"/>
      <c r="M104" s="17"/>
      <c r="N104" s="17"/>
      <c r="O104" s="13"/>
      <c r="P104" s="37"/>
    </row>
    <row r="105" spans="2:16" ht="12.95" customHeight="1" x14ac:dyDescent="0.25">
      <c r="B105" s="17"/>
      <c r="C105" s="17"/>
      <c r="D105" s="17"/>
      <c r="E105" s="62"/>
      <c r="F105" s="42"/>
      <c r="G105" s="17"/>
      <c r="H105" s="17"/>
      <c r="I105" s="17"/>
      <c r="J105" s="17"/>
      <c r="K105" s="17"/>
      <c r="L105" s="17"/>
      <c r="M105" s="17"/>
      <c r="N105" s="17"/>
      <c r="O105" s="13"/>
      <c r="P105" s="37"/>
    </row>
    <row r="106" spans="2:16" ht="12.95" customHeight="1" x14ac:dyDescent="0.25">
      <c r="B106" s="17"/>
      <c r="C106" s="17"/>
      <c r="D106" s="17"/>
      <c r="E106" s="62"/>
      <c r="F106" s="42"/>
      <c r="G106" s="17"/>
      <c r="H106" s="17"/>
      <c r="I106" s="17"/>
      <c r="J106" s="17"/>
      <c r="K106" s="17"/>
      <c r="L106" s="17"/>
      <c r="M106" s="17"/>
      <c r="N106" s="17"/>
      <c r="O106" s="13"/>
      <c r="P106" s="37"/>
    </row>
    <row r="107" spans="2:16" ht="12.95" customHeight="1" x14ac:dyDescent="0.25">
      <c r="B107" s="17"/>
      <c r="C107" s="17"/>
      <c r="D107" s="17"/>
      <c r="E107" s="62"/>
      <c r="F107" s="42"/>
      <c r="G107" s="17"/>
      <c r="H107" s="17"/>
      <c r="I107" s="17"/>
      <c r="J107" s="17"/>
      <c r="K107" s="17"/>
      <c r="L107" s="17"/>
      <c r="M107" s="17"/>
      <c r="N107" s="17"/>
      <c r="O107" s="13"/>
      <c r="P107" s="37"/>
    </row>
    <row r="108" spans="2:16" ht="18" customHeight="1" x14ac:dyDescent="0.25">
      <c r="B108" s="255"/>
      <c r="C108" s="255"/>
      <c r="D108" s="256"/>
      <c r="E108" s="256"/>
      <c r="F108" s="76"/>
      <c r="G108" s="257"/>
      <c r="H108" s="257"/>
      <c r="I108" s="257"/>
      <c r="J108" s="257"/>
      <c r="K108" s="257"/>
      <c r="L108" s="257"/>
      <c r="M108" s="257"/>
      <c r="N108" s="257"/>
      <c r="O108" s="257"/>
      <c r="P108" s="36"/>
    </row>
    <row r="109" spans="2:16" ht="18" customHeight="1" x14ac:dyDescent="0.25">
      <c r="B109" s="255"/>
      <c r="C109" s="255"/>
      <c r="D109" s="258"/>
      <c r="E109" s="258"/>
      <c r="F109" s="76"/>
      <c r="G109" s="259"/>
      <c r="H109" s="259"/>
      <c r="I109" s="259"/>
      <c r="J109" s="259"/>
      <c r="K109" s="259"/>
      <c r="L109" s="259"/>
      <c r="M109" s="259"/>
      <c r="N109" s="259"/>
      <c r="O109" s="259"/>
      <c r="P109" s="37"/>
    </row>
    <row r="110" spans="2:16" ht="23.25" customHeight="1" x14ac:dyDescent="0.25">
      <c r="B110" s="255"/>
      <c r="C110" s="255"/>
      <c r="D110" s="260"/>
      <c r="E110" s="260"/>
      <c r="F110" s="76"/>
      <c r="G110" s="260"/>
      <c r="H110" s="260"/>
      <c r="I110" s="260"/>
      <c r="J110" s="260"/>
      <c r="K110" s="260"/>
      <c r="L110" s="260"/>
      <c r="M110" s="260"/>
      <c r="N110" s="260"/>
      <c r="O110" s="260"/>
      <c r="P110" s="37"/>
    </row>
    <row r="111" spans="2:16" ht="18" customHeight="1" x14ac:dyDescent="0.25">
      <c r="B111" s="255"/>
      <c r="C111" s="255"/>
      <c r="D111" s="259"/>
      <c r="E111" s="259"/>
      <c r="F111" s="76"/>
      <c r="G111" s="255"/>
      <c r="H111" s="255"/>
      <c r="I111" s="255"/>
      <c r="J111" s="255"/>
      <c r="K111" s="255"/>
      <c r="L111" s="255"/>
      <c r="M111" s="255"/>
      <c r="N111" s="255"/>
      <c r="O111" s="255"/>
      <c r="P111" s="37"/>
    </row>
    <row r="112" spans="2:16" ht="18" customHeight="1" x14ac:dyDescent="0.25">
      <c r="B112" s="36"/>
      <c r="C112" s="36"/>
      <c r="D112" s="77"/>
      <c r="E112" s="36"/>
      <c r="F112" s="76"/>
      <c r="G112" s="36"/>
      <c r="H112" s="36"/>
      <c r="I112" s="36"/>
      <c r="J112" s="36"/>
      <c r="K112" s="36"/>
      <c r="L112" s="36"/>
      <c r="M112" s="36"/>
      <c r="N112" s="36"/>
      <c r="O112" s="78"/>
      <c r="P112" s="37"/>
    </row>
    <row r="113" spans="2:16" ht="12.95" customHeight="1" x14ac:dyDescent="0.25">
      <c r="B113" s="17"/>
      <c r="C113" s="17"/>
      <c r="D113" s="17"/>
      <c r="E113" s="62"/>
      <c r="F113" s="42"/>
      <c r="G113" s="17"/>
      <c r="H113" s="17"/>
      <c r="I113" s="17"/>
      <c r="J113" s="17"/>
      <c r="K113" s="17"/>
      <c r="L113" s="17"/>
      <c r="M113" s="17"/>
      <c r="N113" s="17"/>
      <c r="O113" s="13"/>
      <c r="P113" s="37"/>
    </row>
    <row r="114" spans="2:16" ht="12.95" customHeight="1" x14ac:dyDescent="0.25">
      <c r="B114" s="17"/>
      <c r="C114" s="17"/>
      <c r="D114" s="17"/>
      <c r="E114" s="62"/>
      <c r="F114" s="42"/>
      <c r="G114" s="17"/>
      <c r="H114" s="17"/>
      <c r="I114" s="17"/>
      <c r="J114" s="17"/>
      <c r="K114" s="17"/>
      <c r="L114" s="17"/>
      <c r="M114" s="17"/>
      <c r="N114" s="17"/>
      <c r="O114" s="13"/>
      <c r="P114" s="37"/>
    </row>
    <row r="115" spans="2:16" ht="12.75" customHeight="1" x14ac:dyDescent="0.25">
      <c r="B115" s="17"/>
      <c r="C115" s="17"/>
      <c r="D115" s="17"/>
      <c r="E115" s="89"/>
      <c r="F115" s="42"/>
      <c r="G115" s="17"/>
      <c r="H115" s="17"/>
      <c r="I115" s="17"/>
      <c r="J115" s="17"/>
      <c r="K115" s="17"/>
      <c r="L115" s="17"/>
      <c r="M115" s="17"/>
      <c r="N115" s="17"/>
      <c r="O115" s="13"/>
      <c r="P115" s="37"/>
    </row>
    <row r="116" spans="2:16" ht="12.95" customHeight="1" x14ac:dyDescent="0.25">
      <c r="B116" s="17"/>
      <c r="C116" s="17"/>
      <c r="D116" s="17"/>
      <c r="E116" s="62"/>
      <c r="F116" s="42"/>
      <c r="G116" s="17"/>
      <c r="H116" s="17"/>
      <c r="I116" s="17"/>
      <c r="J116" s="17"/>
      <c r="K116" s="17"/>
      <c r="L116" s="17"/>
      <c r="M116" s="17"/>
      <c r="N116" s="17"/>
      <c r="O116" s="13"/>
      <c r="P116" s="37"/>
    </row>
    <row r="117" spans="2:16" ht="12.95" customHeight="1" x14ac:dyDescent="0.25">
      <c r="B117" s="17"/>
      <c r="C117" s="17"/>
      <c r="D117" s="17"/>
      <c r="E117" s="62"/>
      <c r="F117" s="42"/>
      <c r="G117" s="17"/>
      <c r="H117" s="17"/>
      <c r="I117" s="17"/>
      <c r="J117" s="17"/>
      <c r="K117" s="17"/>
      <c r="L117" s="17"/>
      <c r="M117" s="17"/>
      <c r="N117" s="17"/>
      <c r="O117" s="13"/>
      <c r="P117" s="37"/>
    </row>
    <row r="118" spans="2:16" ht="12.95" customHeight="1" x14ac:dyDescent="0.25">
      <c r="B118" s="75"/>
      <c r="C118" s="17"/>
      <c r="D118" s="17"/>
      <c r="E118" s="85"/>
      <c r="F118" s="75"/>
      <c r="G118" s="17"/>
      <c r="H118" s="17"/>
      <c r="I118" s="17"/>
      <c r="J118" s="17"/>
      <c r="K118" s="17"/>
      <c r="L118" s="17"/>
      <c r="M118" s="17"/>
      <c r="N118" s="17"/>
      <c r="O118" s="13"/>
      <c r="P118" s="37"/>
    </row>
    <row r="119" spans="2:16" ht="12.95" customHeight="1" x14ac:dyDescent="0.25">
      <c r="B119" s="17"/>
      <c r="C119" s="17"/>
      <c r="D119" s="17"/>
      <c r="E119" s="62"/>
      <c r="F119" s="42"/>
      <c r="G119" s="17"/>
      <c r="H119" s="17"/>
      <c r="I119" s="17"/>
      <c r="J119" s="17"/>
      <c r="K119" s="17"/>
      <c r="L119" s="17"/>
      <c r="M119" s="17"/>
      <c r="N119" s="17"/>
      <c r="O119" s="13"/>
      <c r="P119" s="37"/>
    </row>
    <row r="120" spans="2:16" ht="12.95" customHeight="1" x14ac:dyDescent="0.25">
      <c r="B120" s="17"/>
      <c r="C120" s="17"/>
      <c r="D120" s="17"/>
      <c r="E120" s="62"/>
      <c r="F120" s="42"/>
      <c r="G120" s="17"/>
      <c r="H120" s="17"/>
      <c r="I120" s="17"/>
      <c r="J120" s="17"/>
      <c r="K120" s="17"/>
      <c r="L120" s="17"/>
      <c r="M120" s="17"/>
      <c r="N120" s="17"/>
      <c r="O120" s="13"/>
      <c r="P120" s="37"/>
    </row>
    <row r="121" spans="2:16" ht="12.95" customHeight="1" x14ac:dyDescent="0.25">
      <c r="B121" s="17"/>
      <c r="C121" s="17"/>
      <c r="D121" s="17"/>
      <c r="E121" s="89"/>
      <c r="F121" s="42"/>
      <c r="G121" s="17"/>
      <c r="H121" s="17"/>
      <c r="I121" s="17"/>
      <c r="J121" s="17"/>
      <c r="K121" s="17"/>
      <c r="L121" s="17"/>
      <c r="M121" s="17"/>
      <c r="N121" s="17"/>
      <c r="O121" s="13"/>
      <c r="P121" s="37"/>
    </row>
    <row r="122" spans="2:16" ht="12.95" customHeight="1" x14ac:dyDescent="0.25">
      <c r="B122" s="17"/>
      <c r="C122" s="17"/>
      <c r="D122" s="17"/>
      <c r="E122" s="62"/>
      <c r="F122" s="42"/>
      <c r="G122" s="17"/>
      <c r="H122" s="17"/>
      <c r="I122" s="17"/>
      <c r="J122" s="17"/>
      <c r="K122" s="17"/>
      <c r="L122" s="17"/>
      <c r="M122" s="17"/>
      <c r="N122" s="17"/>
      <c r="O122" s="13"/>
      <c r="P122" s="37"/>
    </row>
    <row r="123" spans="2:16" ht="12.95" customHeight="1" x14ac:dyDescent="0.25">
      <c r="B123" s="17"/>
      <c r="C123" s="17"/>
      <c r="D123" s="17"/>
      <c r="E123" s="62"/>
      <c r="F123" s="42"/>
      <c r="G123" s="17"/>
      <c r="H123" s="17"/>
      <c r="I123" s="17"/>
      <c r="J123" s="17"/>
      <c r="K123" s="17"/>
      <c r="L123" s="17"/>
      <c r="M123" s="17"/>
      <c r="N123" s="17"/>
      <c r="O123" s="13"/>
      <c r="P123" s="38"/>
    </row>
    <row r="124" spans="2:16" ht="12.95" customHeight="1" x14ac:dyDescent="0.25">
      <c r="B124" s="17"/>
      <c r="C124" s="17"/>
      <c r="D124" s="17"/>
      <c r="E124" s="62"/>
      <c r="F124" s="42"/>
      <c r="G124" s="17"/>
      <c r="H124" s="17"/>
      <c r="I124" s="17"/>
      <c r="J124" s="17"/>
      <c r="K124" s="17"/>
      <c r="L124" s="17"/>
      <c r="M124" s="17"/>
      <c r="N124" s="17"/>
      <c r="O124" s="13"/>
      <c r="P124" s="38"/>
    </row>
    <row r="125" spans="2:16" ht="12.95" customHeight="1" x14ac:dyDescent="0.25">
      <c r="B125" s="17"/>
      <c r="C125" s="17"/>
      <c r="D125" s="17"/>
      <c r="E125" s="62"/>
      <c r="F125" s="42"/>
      <c r="G125" s="17"/>
      <c r="H125" s="17"/>
      <c r="I125" s="17"/>
      <c r="J125" s="17"/>
      <c r="K125" s="17"/>
      <c r="L125" s="17"/>
      <c r="M125" s="17"/>
      <c r="N125" s="17"/>
      <c r="O125" s="13"/>
      <c r="P125" s="38"/>
    </row>
    <row r="126" spans="2:16" ht="12.95" customHeight="1" x14ac:dyDescent="0.25">
      <c r="B126" s="17"/>
      <c r="C126" s="17"/>
      <c r="D126" s="17"/>
      <c r="E126" s="62"/>
      <c r="F126" s="42"/>
      <c r="G126" s="17"/>
      <c r="H126" s="17"/>
      <c r="I126" s="17"/>
      <c r="J126" s="17"/>
      <c r="K126" s="17"/>
      <c r="L126" s="17"/>
      <c r="M126" s="17"/>
      <c r="N126" s="17"/>
      <c r="O126" s="13"/>
      <c r="P126" s="38"/>
    </row>
    <row r="127" spans="2:16" ht="12.95" customHeight="1" x14ac:dyDescent="0.25">
      <c r="B127" s="17"/>
      <c r="C127" s="17"/>
      <c r="D127" s="17"/>
      <c r="E127" s="62"/>
      <c r="F127" s="42"/>
      <c r="G127" s="17"/>
      <c r="H127" s="17"/>
      <c r="I127" s="17"/>
      <c r="J127" s="17"/>
      <c r="K127" s="17"/>
      <c r="L127" s="17"/>
      <c r="M127" s="17"/>
      <c r="N127" s="17"/>
      <c r="O127" s="13"/>
      <c r="P127" s="38"/>
    </row>
    <row r="128" spans="2:16" ht="12.95" customHeight="1" x14ac:dyDescent="0.25">
      <c r="B128" s="17"/>
      <c r="C128" s="17"/>
      <c r="D128" s="17"/>
      <c r="E128" s="62"/>
      <c r="F128" s="42"/>
      <c r="G128" s="17"/>
      <c r="H128" s="17"/>
      <c r="I128" s="17"/>
      <c r="J128" s="17"/>
      <c r="K128" s="17"/>
      <c r="L128" s="17"/>
      <c r="M128" s="17"/>
      <c r="N128" s="17"/>
      <c r="O128" s="13"/>
      <c r="P128" s="38"/>
    </row>
    <row r="129" spans="2:16" ht="12.95" customHeight="1" x14ac:dyDescent="0.25">
      <c r="B129" s="17"/>
      <c r="C129" s="17"/>
      <c r="D129" s="17"/>
      <c r="E129" s="62"/>
      <c r="F129" s="42"/>
      <c r="G129" s="17"/>
      <c r="H129" s="17"/>
      <c r="I129" s="17"/>
      <c r="J129" s="17"/>
      <c r="K129" s="17"/>
      <c r="L129" s="17"/>
      <c r="M129" s="17"/>
      <c r="N129" s="17"/>
      <c r="O129" s="13"/>
      <c r="P129" s="38"/>
    </row>
    <row r="130" spans="2:16" ht="24.2" customHeight="1" x14ac:dyDescent="0.25">
      <c r="B130" s="17"/>
      <c r="C130" s="17"/>
      <c r="D130" s="17"/>
      <c r="E130" s="88"/>
      <c r="F130" s="42"/>
      <c r="G130" s="17"/>
      <c r="H130" s="17"/>
      <c r="I130" s="17"/>
      <c r="J130" s="17"/>
      <c r="K130" s="17"/>
      <c r="L130" s="17"/>
      <c r="M130" s="17"/>
      <c r="N130" s="17"/>
      <c r="O130" s="13"/>
      <c r="P130" s="38"/>
    </row>
    <row r="131" spans="2:16" ht="12.95" customHeight="1" x14ac:dyDescent="0.25">
      <c r="B131" s="17"/>
      <c r="C131" s="17"/>
      <c r="D131" s="17"/>
      <c r="E131" s="62"/>
      <c r="F131" s="42"/>
      <c r="G131" s="17"/>
      <c r="H131" s="17"/>
      <c r="I131" s="17"/>
      <c r="J131" s="17"/>
      <c r="K131" s="17"/>
      <c r="L131" s="17"/>
      <c r="M131" s="17"/>
      <c r="N131" s="17"/>
      <c r="O131" s="13"/>
      <c r="P131" s="38"/>
    </row>
    <row r="132" spans="2:16" ht="12.95" customHeight="1" x14ac:dyDescent="0.25">
      <c r="B132" s="17"/>
      <c r="C132" s="17"/>
      <c r="D132" s="17"/>
      <c r="E132" s="74"/>
      <c r="F132" s="17"/>
      <c r="G132" s="17"/>
      <c r="H132" s="17"/>
      <c r="I132" s="17"/>
      <c r="J132" s="17"/>
      <c r="K132" s="17"/>
      <c r="L132" s="17"/>
      <c r="M132" s="17"/>
      <c r="N132" s="17"/>
      <c r="O132" s="13"/>
      <c r="P132" s="38"/>
    </row>
    <row r="133" spans="2:16" ht="12.95" customHeight="1" x14ac:dyDescent="0.25">
      <c r="B133" s="80"/>
      <c r="C133" s="17"/>
      <c r="D133" s="17"/>
      <c r="E133" s="81"/>
      <c r="F133" s="17"/>
      <c r="G133" s="17"/>
      <c r="H133" s="17"/>
      <c r="I133" s="17"/>
      <c r="J133" s="17"/>
      <c r="K133" s="17"/>
      <c r="L133" s="17"/>
      <c r="M133" s="17"/>
      <c r="N133" s="17"/>
      <c r="O133" s="13"/>
      <c r="P133" s="38"/>
    </row>
    <row r="134" spans="2:16" ht="12.95" customHeight="1" x14ac:dyDescent="0.25">
      <c r="B134" s="70"/>
      <c r="C134" s="69"/>
      <c r="D134" s="17"/>
      <c r="E134" s="69"/>
      <c r="F134" s="17"/>
      <c r="G134" s="90"/>
      <c r="H134" s="90"/>
      <c r="I134" s="90"/>
      <c r="J134" s="90"/>
      <c r="K134" s="90"/>
      <c r="L134" s="90"/>
      <c r="M134" s="90"/>
      <c r="N134" s="90"/>
      <c r="O134" s="13"/>
      <c r="P134" s="38"/>
    </row>
    <row r="135" spans="2:16" ht="12.95" customHeight="1" x14ac:dyDescent="0.25">
      <c r="B135" s="17"/>
      <c r="C135" s="69"/>
      <c r="D135" s="17"/>
      <c r="E135" s="69"/>
      <c r="F135" s="42"/>
      <c r="G135" s="90"/>
      <c r="H135" s="90"/>
      <c r="I135" s="90"/>
      <c r="J135" s="90"/>
      <c r="K135" s="90"/>
      <c r="L135" s="90"/>
      <c r="M135" s="90"/>
      <c r="N135" s="90"/>
      <c r="O135" s="13"/>
      <c r="P135" s="38"/>
    </row>
    <row r="136" spans="2:16" ht="12.95" customHeight="1" x14ac:dyDescent="0.25">
      <c r="B136" s="70"/>
      <c r="C136" s="69"/>
      <c r="D136" s="17"/>
      <c r="E136" s="69"/>
      <c r="F136" s="42"/>
      <c r="G136" s="90"/>
      <c r="H136" s="90"/>
      <c r="I136" s="90"/>
      <c r="J136" s="90"/>
      <c r="K136" s="90"/>
      <c r="L136" s="90"/>
      <c r="M136" s="90"/>
      <c r="N136" s="90"/>
      <c r="O136" s="13"/>
      <c r="P136" s="38"/>
    </row>
    <row r="137" spans="2:16" ht="12.95" customHeight="1" x14ac:dyDescent="0.25">
      <c r="B137" s="17"/>
      <c r="C137" s="69"/>
      <c r="D137" s="17"/>
      <c r="E137" s="69"/>
      <c r="F137" s="42"/>
      <c r="G137" s="90"/>
      <c r="H137" s="90"/>
      <c r="I137" s="90"/>
      <c r="J137" s="90"/>
      <c r="K137" s="90"/>
      <c r="L137" s="90"/>
      <c r="M137" s="90"/>
      <c r="N137" s="90"/>
      <c r="O137" s="13"/>
      <c r="P137" s="38"/>
    </row>
    <row r="138" spans="2:16" ht="12.95" customHeight="1" x14ac:dyDescent="0.25">
      <c r="B138" s="70"/>
      <c r="C138" s="17"/>
      <c r="D138" s="17"/>
      <c r="E138" s="91"/>
      <c r="F138" s="92"/>
      <c r="G138" s="17"/>
      <c r="H138" s="17"/>
      <c r="I138" s="17"/>
      <c r="J138" s="17"/>
      <c r="K138" s="17"/>
      <c r="L138" s="17"/>
      <c r="M138" s="17"/>
      <c r="N138" s="17"/>
      <c r="O138" s="13"/>
      <c r="P138" s="38"/>
    </row>
    <row r="139" spans="2:16" ht="12.95" customHeight="1" x14ac:dyDescent="0.25">
      <c r="B139" s="17"/>
      <c r="C139" s="17"/>
      <c r="D139" s="17"/>
      <c r="E139" s="91"/>
      <c r="F139" s="92"/>
      <c r="G139" s="17"/>
      <c r="H139" s="17"/>
      <c r="I139" s="17"/>
      <c r="J139" s="17"/>
      <c r="K139" s="17"/>
      <c r="L139" s="17"/>
      <c r="M139" s="17"/>
      <c r="N139" s="17"/>
      <c r="O139" s="13"/>
      <c r="P139" s="38"/>
    </row>
    <row r="140" spans="2:16" ht="12.95" customHeight="1" x14ac:dyDescent="0.25">
      <c r="B140" s="70"/>
      <c r="C140" s="17"/>
      <c r="D140" s="17"/>
      <c r="E140" s="91"/>
      <c r="F140" s="92"/>
      <c r="G140" s="17"/>
      <c r="H140" s="17"/>
      <c r="I140" s="17"/>
      <c r="J140" s="17"/>
      <c r="K140" s="17"/>
      <c r="L140" s="17"/>
      <c r="M140" s="17"/>
      <c r="N140" s="17"/>
      <c r="O140" s="13"/>
      <c r="P140" s="38"/>
    </row>
    <row r="141" spans="2:16" ht="12.95" customHeight="1" x14ac:dyDescent="0.25">
      <c r="B141" s="17"/>
      <c r="C141" s="17"/>
      <c r="D141" s="17"/>
      <c r="E141" s="93"/>
      <c r="F141" s="17"/>
      <c r="G141" s="17"/>
      <c r="H141" s="17"/>
      <c r="I141" s="17"/>
      <c r="J141" s="17"/>
      <c r="K141" s="17"/>
      <c r="L141" s="17"/>
      <c r="M141" s="17"/>
      <c r="N141" s="17"/>
      <c r="O141" s="13"/>
      <c r="P141" s="38"/>
    </row>
    <row r="142" spans="2:16" ht="12.95" customHeight="1" x14ac:dyDescent="0.25">
      <c r="P142" s="38"/>
    </row>
    <row r="143" spans="2:16" s="41" customFormat="1" ht="18" customHeight="1" x14ac:dyDescent="0.25">
      <c r="B143" s="259"/>
      <c r="C143" s="259"/>
      <c r="D143" s="256"/>
      <c r="E143" s="256"/>
      <c r="F143" s="76"/>
      <c r="G143" s="257"/>
      <c r="H143" s="257"/>
      <c r="I143" s="257"/>
      <c r="J143" s="257"/>
      <c r="K143" s="257"/>
      <c r="L143" s="257"/>
      <c r="M143" s="257"/>
      <c r="N143" s="257"/>
      <c r="O143" s="257"/>
      <c r="P143" s="13"/>
    </row>
    <row r="144" spans="2:16" s="41" customFormat="1" ht="18" customHeight="1" x14ac:dyDescent="0.25">
      <c r="B144" s="259"/>
      <c r="C144" s="259"/>
      <c r="D144" s="260"/>
      <c r="E144" s="260"/>
      <c r="F144" s="76"/>
      <c r="G144" s="259"/>
      <c r="H144" s="259"/>
      <c r="I144" s="259"/>
      <c r="J144" s="259"/>
      <c r="K144" s="259"/>
      <c r="L144" s="259"/>
      <c r="M144" s="259"/>
      <c r="N144" s="259"/>
      <c r="O144" s="259"/>
      <c r="P144" s="13"/>
    </row>
    <row r="145" spans="2:16" s="41" customFormat="1" ht="23.25" customHeight="1" x14ac:dyDescent="0.25">
      <c r="B145" s="259"/>
      <c r="C145" s="259"/>
      <c r="D145" s="260"/>
      <c r="E145" s="260"/>
      <c r="F145" s="76"/>
      <c r="G145" s="260"/>
      <c r="H145" s="260"/>
      <c r="I145" s="260"/>
      <c r="J145" s="260"/>
      <c r="K145" s="260"/>
      <c r="L145" s="260"/>
      <c r="M145" s="260"/>
      <c r="N145" s="260"/>
      <c r="O145" s="260"/>
      <c r="P145" s="13"/>
    </row>
    <row r="146" spans="2:16" s="41" customFormat="1" ht="18" customHeight="1" x14ac:dyDescent="0.25">
      <c r="B146" s="259"/>
      <c r="C146" s="259"/>
      <c r="D146" s="259"/>
      <c r="E146" s="259"/>
      <c r="F146" s="76"/>
      <c r="G146" s="259"/>
      <c r="H146" s="259"/>
      <c r="I146" s="259"/>
      <c r="J146" s="259"/>
      <c r="K146" s="259"/>
      <c r="L146" s="259"/>
      <c r="M146" s="259"/>
      <c r="N146" s="259"/>
      <c r="O146" s="259"/>
      <c r="P146" s="13"/>
    </row>
    <row r="147" spans="2:16" s="41" customFormat="1" ht="18" customHeight="1" x14ac:dyDescent="0.25">
      <c r="B147" s="36"/>
      <c r="C147" s="36"/>
      <c r="D147" s="77"/>
      <c r="E147" s="36"/>
      <c r="F147" s="76"/>
      <c r="G147" s="36"/>
      <c r="H147" s="36"/>
      <c r="I147" s="36"/>
      <c r="J147" s="36"/>
      <c r="K147" s="36"/>
      <c r="L147" s="36"/>
      <c r="M147" s="36"/>
      <c r="N147" s="36"/>
      <c r="O147" s="78"/>
      <c r="P147" s="13"/>
    </row>
    <row r="148" spans="2:16" ht="12.95" customHeight="1" x14ac:dyDescent="0.25">
      <c r="B148" s="17"/>
      <c r="C148" s="17"/>
      <c r="D148" s="17"/>
      <c r="E148" s="74"/>
      <c r="F148" s="94"/>
      <c r="G148" s="17"/>
      <c r="H148" s="17"/>
      <c r="I148" s="17"/>
      <c r="J148" s="17"/>
      <c r="K148" s="17"/>
      <c r="L148" s="17"/>
      <c r="M148" s="17"/>
      <c r="N148" s="17"/>
      <c r="O148" s="13"/>
      <c r="P148" s="38"/>
    </row>
    <row r="149" spans="2:16" ht="12.95" customHeight="1" x14ac:dyDescent="0.25">
      <c r="B149" s="17"/>
      <c r="C149" s="17"/>
      <c r="D149" s="17"/>
      <c r="E149" s="74"/>
      <c r="F149" s="94"/>
      <c r="G149" s="17"/>
      <c r="H149" s="17"/>
      <c r="I149" s="17"/>
      <c r="J149" s="17"/>
      <c r="K149" s="17"/>
      <c r="L149" s="17"/>
      <c r="M149" s="17"/>
      <c r="N149" s="17"/>
      <c r="O149" s="13"/>
      <c r="P149" s="38"/>
    </row>
    <row r="150" spans="2:16" ht="12.95" customHeight="1" x14ac:dyDescent="0.25">
      <c r="B150" s="17"/>
      <c r="C150" s="17"/>
      <c r="D150" s="17"/>
      <c r="E150" s="74"/>
      <c r="F150" s="94"/>
      <c r="G150" s="17"/>
      <c r="H150" s="17"/>
      <c r="I150" s="17"/>
      <c r="J150" s="17"/>
      <c r="K150" s="17"/>
      <c r="L150" s="17"/>
      <c r="M150" s="17"/>
      <c r="N150" s="17"/>
      <c r="O150" s="13"/>
      <c r="P150" s="37"/>
    </row>
    <row r="151" spans="2:16" ht="12.95" customHeight="1" x14ac:dyDescent="0.25">
      <c r="B151" s="17"/>
      <c r="C151" s="17"/>
      <c r="D151" s="17"/>
      <c r="E151" s="74"/>
      <c r="F151" s="94"/>
      <c r="G151" s="90"/>
      <c r="H151" s="90"/>
      <c r="I151" s="90"/>
      <c r="J151" s="90"/>
      <c r="K151" s="90"/>
      <c r="L151" s="90"/>
      <c r="M151" s="90"/>
      <c r="N151" s="90"/>
      <c r="O151" s="13"/>
      <c r="P151" s="37"/>
    </row>
    <row r="152" spans="2:16" ht="12.95" customHeight="1" x14ac:dyDescent="0.25">
      <c r="B152" s="17"/>
      <c r="C152" s="17"/>
      <c r="D152" s="17"/>
      <c r="E152" s="74"/>
      <c r="F152" s="94"/>
      <c r="G152" s="90"/>
      <c r="H152" s="90"/>
      <c r="I152" s="90"/>
      <c r="J152" s="90"/>
      <c r="K152" s="90"/>
      <c r="L152" s="90"/>
      <c r="M152" s="90"/>
      <c r="N152" s="90"/>
      <c r="O152" s="13"/>
      <c r="P152" s="37"/>
    </row>
    <row r="153" spans="2:16" ht="12.95" customHeight="1" x14ac:dyDescent="0.25">
      <c r="B153" s="17"/>
      <c r="C153" s="17"/>
      <c r="D153" s="17"/>
      <c r="E153" s="74"/>
      <c r="F153" s="94"/>
      <c r="G153" s="90"/>
      <c r="H153" s="90"/>
      <c r="I153" s="90"/>
      <c r="J153" s="90"/>
      <c r="K153" s="90"/>
      <c r="L153" s="90"/>
      <c r="M153" s="90"/>
      <c r="N153" s="90"/>
      <c r="O153" s="13"/>
      <c r="P153" s="37"/>
    </row>
    <row r="154" spans="2:16" ht="12.95" customHeight="1" x14ac:dyDescent="0.25">
      <c r="B154" s="80"/>
      <c r="C154" s="17"/>
      <c r="D154" s="17"/>
      <c r="E154" s="81"/>
      <c r="F154" s="17"/>
      <c r="G154" s="17"/>
      <c r="H154" s="17"/>
      <c r="I154" s="17"/>
      <c r="J154" s="17"/>
      <c r="K154" s="17"/>
      <c r="L154" s="17"/>
      <c r="M154" s="17"/>
      <c r="N154" s="17"/>
      <c r="O154" s="13"/>
      <c r="P154" s="37"/>
    </row>
    <row r="155" spans="2:16" ht="24.2" customHeight="1" x14ac:dyDescent="0.25">
      <c r="B155" s="17"/>
      <c r="C155" s="17"/>
      <c r="D155" s="17"/>
      <c r="E155" s="79"/>
      <c r="F155" s="17"/>
      <c r="G155" s="17"/>
      <c r="H155" s="17"/>
      <c r="I155" s="17"/>
      <c r="J155" s="17"/>
      <c r="K155" s="17"/>
      <c r="L155" s="17"/>
      <c r="M155" s="17"/>
      <c r="N155" s="17"/>
      <c r="O155" s="13"/>
      <c r="P155" s="37"/>
    </row>
    <row r="156" spans="2:16" ht="24.2" customHeight="1" x14ac:dyDescent="0.25">
      <c r="B156" s="17"/>
      <c r="C156" s="17"/>
      <c r="D156" s="17"/>
      <c r="E156" s="95"/>
      <c r="F156" s="17"/>
      <c r="G156" s="17"/>
      <c r="H156" s="17"/>
      <c r="I156" s="17"/>
      <c r="J156" s="17"/>
      <c r="K156" s="17"/>
      <c r="L156" s="17"/>
      <c r="M156" s="17"/>
      <c r="N156" s="17"/>
      <c r="O156" s="13"/>
      <c r="P156" s="37"/>
    </row>
    <row r="157" spans="2:16" ht="24.2" customHeight="1" x14ac:dyDescent="0.25">
      <c r="B157" s="17"/>
      <c r="C157" s="17"/>
      <c r="D157" s="17"/>
      <c r="E157" s="79"/>
      <c r="F157" s="17"/>
      <c r="G157" s="17"/>
      <c r="H157" s="17"/>
      <c r="I157" s="17"/>
      <c r="J157" s="17"/>
      <c r="K157" s="17"/>
      <c r="L157" s="17"/>
      <c r="M157" s="17"/>
      <c r="N157" s="17"/>
      <c r="O157" s="13"/>
      <c r="P157" s="37"/>
    </row>
    <row r="158" spans="2:16" ht="36.75" customHeight="1" x14ac:dyDescent="0.25">
      <c r="B158" s="17"/>
      <c r="C158" s="17"/>
      <c r="D158" s="17"/>
      <c r="E158" s="96"/>
      <c r="F158" s="17"/>
      <c r="G158" s="17"/>
      <c r="H158" s="17"/>
      <c r="I158" s="17"/>
      <c r="J158" s="17"/>
      <c r="K158" s="17"/>
      <c r="L158" s="17"/>
      <c r="M158" s="17"/>
      <c r="N158" s="17"/>
      <c r="O158" s="13"/>
      <c r="P158" s="37"/>
    </row>
    <row r="159" spans="2:16" ht="12.95" customHeight="1" x14ac:dyDescent="0.25">
      <c r="P159" s="37"/>
    </row>
    <row r="160" spans="2:16" ht="12.95" customHeight="1" x14ac:dyDescent="0.25">
      <c r="P160" s="37"/>
    </row>
    <row r="161" spans="2:16" ht="12.95" customHeight="1" x14ac:dyDescent="0.25">
      <c r="P161" s="37"/>
    </row>
    <row r="162" spans="2:16" ht="12.95" customHeight="1" x14ac:dyDescent="0.25">
      <c r="B162" s="17"/>
      <c r="C162" s="17"/>
      <c r="D162" s="17"/>
      <c r="E162" s="87"/>
      <c r="F162" s="17"/>
      <c r="G162" s="90"/>
      <c r="H162" s="90"/>
      <c r="I162" s="90"/>
      <c r="J162" s="90"/>
      <c r="K162" s="90"/>
      <c r="L162" s="90"/>
      <c r="M162" s="90"/>
      <c r="N162" s="90"/>
      <c r="O162" s="13"/>
      <c r="P162" s="37"/>
    </row>
    <row r="163" spans="2:16" ht="12.95" customHeight="1" x14ac:dyDescent="0.25">
      <c r="B163" s="17"/>
      <c r="C163" s="17"/>
      <c r="D163" s="17"/>
      <c r="E163" s="87"/>
      <c r="F163" s="17"/>
      <c r="G163" s="90"/>
      <c r="H163" s="90"/>
      <c r="I163" s="90"/>
      <c r="J163" s="90"/>
      <c r="K163" s="90"/>
      <c r="L163" s="90"/>
      <c r="M163" s="90"/>
      <c r="N163" s="90"/>
      <c r="O163" s="13"/>
      <c r="P163" s="37"/>
    </row>
    <row r="164" spans="2:16" ht="12.95" customHeight="1" x14ac:dyDescent="0.25">
      <c r="B164" s="17"/>
      <c r="C164" s="17"/>
      <c r="D164" s="17"/>
      <c r="E164" s="87"/>
      <c r="F164" s="17"/>
      <c r="G164" s="90"/>
      <c r="H164" s="90"/>
      <c r="I164" s="90"/>
      <c r="J164" s="90"/>
      <c r="K164" s="90"/>
      <c r="L164" s="90"/>
      <c r="M164" s="90"/>
      <c r="N164" s="90"/>
      <c r="O164" s="13"/>
      <c r="P164" s="37"/>
    </row>
    <row r="165" spans="2:16" ht="12.95" customHeight="1" x14ac:dyDescent="0.25">
      <c r="B165" s="17"/>
      <c r="C165" s="17"/>
      <c r="D165" s="17"/>
      <c r="E165" s="87"/>
      <c r="F165" s="97"/>
      <c r="G165" s="98"/>
      <c r="H165" s="98"/>
      <c r="I165" s="98"/>
      <c r="J165" s="98"/>
      <c r="K165" s="98"/>
      <c r="L165" s="98"/>
      <c r="M165" s="98"/>
      <c r="N165" s="98"/>
      <c r="O165" s="13"/>
      <c r="P165" s="37"/>
    </row>
    <row r="166" spans="2:16" ht="12.95" customHeight="1" x14ac:dyDescent="0.25">
      <c r="B166" s="17"/>
      <c r="C166" s="17"/>
      <c r="D166" s="17"/>
      <c r="E166" s="87"/>
      <c r="F166" s="97"/>
      <c r="G166" s="98"/>
      <c r="H166" s="98"/>
      <c r="I166" s="98"/>
      <c r="J166" s="98"/>
      <c r="K166" s="98"/>
      <c r="L166" s="98"/>
      <c r="M166" s="98"/>
      <c r="N166" s="98"/>
      <c r="O166" s="13"/>
      <c r="P166" s="37"/>
    </row>
    <row r="167" spans="2:16" ht="12.95" customHeight="1" x14ac:dyDescent="0.25">
      <c r="B167" s="17"/>
      <c r="C167" s="17"/>
      <c r="D167" s="17"/>
      <c r="E167" s="87"/>
      <c r="F167" s="17"/>
      <c r="G167" s="90"/>
      <c r="H167" s="90"/>
      <c r="I167" s="90"/>
      <c r="J167" s="90"/>
      <c r="K167" s="90"/>
      <c r="L167" s="90"/>
      <c r="M167" s="90"/>
      <c r="N167" s="90"/>
      <c r="O167" s="13"/>
      <c r="P167" s="37"/>
    </row>
    <row r="168" spans="2:16" ht="12.95" customHeight="1" x14ac:dyDescent="0.25">
      <c r="B168" s="17"/>
      <c r="C168" s="17"/>
      <c r="D168" s="17"/>
      <c r="E168" s="62"/>
      <c r="F168" s="17"/>
      <c r="G168" s="90"/>
      <c r="H168" s="90"/>
      <c r="I168" s="90"/>
      <c r="J168" s="90"/>
      <c r="K168" s="90"/>
      <c r="L168" s="90"/>
      <c r="M168" s="90"/>
      <c r="N168" s="90"/>
      <c r="O168" s="13"/>
      <c r="P168" s="37"/>
    </row>
    <row r="169" spans="2:16" ht="12.95" customHeight="1" x14ac:dyDescent="0.25">
      <c r="B169" s="17"/>
      <c r="C169" s="17"/>
      <c r="D169" s="17"/>
      <c r="E169" s="62"/>
      <c r="F169" s="17"/>
      <c r="G169" s="90"/>
      <c r="H169" s="90"/>
      <c r="I169" s="90"/>
      <c r="J169" s="90"/>
      <c r="K169" s="90"/>
      <c r="L169" s="90"/>
      <c r="M169" s="90"/>
      <c r="N169" s="90"/>
      <c r="O169" s="13"/>
      <c r="P169" s="37"/>
    </row>
    <row r="170" spans="2:16" ht="12.95" customHeight="1" x14ac:dyDescent="0.25">
      <c r="P170" s="37"/>
    </row>
    <row r="171" spans="2:16" ht="12.95" customHeight="1" x14ac:dyDescent="0.25">
      <c r="B171" s="244"/>
      <c r="C171" s="244"/>
      <c r="D171" s="244"/>
      <c r="E171" s="244"/>
      <c r="F171" s="244"/>
      <c r="G171" s="244"/>
      <c r="H171" s="244"/>
      <c r="I171" s="244"/>
      <c r="J171" s="244"/>
      <c r="K171" s="244"/>
      <c r="L171" s="244"/>
      <c r="M171" s="244"/>
      <c r="N171" s="244"/>
      <c r="O171" s="244"/>
      <c r="P171" s="37"/>
    </row>
    <row r="172" spans="2:16" ht="12.95" customHeight="1" x14ac:dyDescent="0.25">
      <c r="B172" s="244"/>
      <c r="C172" s="244"/>
      <c r="D172" s="244"/>
      <c r="E172" s="244"/>
      <c r="F172" s="244"/>
      <c r="G172" s="244"/>
      <c r="H172" s="244"/>
      <c r="I172" s="244"/>
      <c r="J172" s="244"/>
      <c r="K172" s="244"/>
      <c r="L172" s="244"/>
      <c r="M172" s="244"/>
      <c r="N172" s="244"/>
      <c r="O172" s="244"/>
      <c r="P172" s="37"/>
    </row>
    <row r="173" spans="2:16" ht="12.95" customHeight="1" x14ac:dyDescent="0.25">
      <c r="B173" s="244"/>
      <c r="C173" s="244"/>
      <c r="D173" s="244"/>
      <c r="E173" s="244"/>
      <c r="F173" s="244"/>
      <c r="G173" s="244"/>
      <c r="H173" s="244"/>
      <c r="I173" s="244"/>
      <c r="J173" s="244"/>
      <c r="K173" s="244"/>
      <c r="L173" s="244"/>
      <c r="M173" s="244"/>
      <c r="N173" s="244"/>
      <c r="O173" s="244"/>
      <c r="P173" s="37"/>
    </row>
    <row r="174" spans="2:16" ht="9.75" customHeight="1" x14ac:dyDescent="0.25">
      <c r="P174" s="37"/>
    </row>
    <row r="175" spans="2:16" ht="18" customHeight="1" x14ac:dyDescent="0.25">
      <c r="B175" s="255"/>
      <c r="C175" s="255"/>
      <c r="D175" s="256"/>
      <c r="E175" s="256"/>
      <c r="F175" s="76"/>
      <c r="G175" s="257"/>
      <c r="H175" s="257"/>
      <c r="I175" s="257"/>
      <c r="J175" s="257"/>
      <c r="K175" s="257"/>
      <c r="L175" s="257"/>
      <c r="M175" s="257"/>
      <c r="N175" s="257"/>
      <c r="O175" s="257"/>
      <c r="P175" s="32"/>
    </row>
    <row r="176" spans="2:16" ht="18" customHeight="1" x14ac:dyDescent="0.25">
      <c r="B176" s="255"/>
      <c r="C176" s="255"/>
      <c r="D176" s="258"/>
      <c r="E176" s="258"/>
      <c r="F176" s="76"/>
      <c r="G176" s="259"/>
      <c r="H176" s="259"/>
      <c r="I176" s="259"/>
      <c r="J176" s="259"/>
      <c r="K176" s="259"/>
      <c r="L176" s="259"/>
      <c r="M176" s="259"/>
      <c r="N176" s="259"/>
      <c r="O176" s="259"/>
      <c r="P176" s="33"/>
    </row>
    <row r="177" spans="2:16" ht="23.25" customHeight="1" x14ac:dyDescent="0.25">
      <c r="B177" s="255"/>
      <c r="C177" s="255"/>
      <c r="D177" s="260"/>
      <c r="E177" s="260"/>
      <c r="F177" s="76"/>
      <c r="G177" s="260"/>
      <c r="H177" s="260"/>
      <c r="I177" s="260"/>
      <c r="J177" s="260"/>
      <c r="K177" s="260"/>
      <c r="L177" s="260"/>
      <c r="M177" s="260"/>
      <c r="N177" s="260"/>
      <c r="O177" s="260"/>
      <c r="P177" s="34"/>
    </row>
    <row r="178" spans="2:16" ht="17.850000000000001" customHeight="1" x14ac:dyDescent="0.25">
      <c r="B178" s="255"/>
      <c r="C178" s="255"/>
      <c r="D178" s="259"/>
      <c r="E178" s="259"/>
      <c r="F178" s="76"/>
      <c r="G178" s="255"/>
      <c r="H178" s="255"/>
      <c r="I178" s="255"/>
      <c r="J178" s="255"/>
      <c r="K178" s="255"/>
      <c r="L178" s="255"/>
      <c r="M178" s="255"/>
      <c r="N178" s="255"/>
      <c r="O178" s="255"/>
      <c r="P178" s="35"/>
    </row>
    <row r="179" spans="2:16" ht="18" customHeight="1" x14ac:dyDescent="0.25">
      <c r="B179" s="36"/>
      <c r="C179" s="36"/>
      <c r="D179" s="77"/>
      <c r="E179" s="36"/>
      <c r="F179" s="76"/>
      <c r="G179" s="36"/>
      <c r="H179" s="36"/>
      <c r="I179" s="36"/>
      <c r="J179" s="36"/>
      <c r="K179" s="36"/>
      <c r="L179" s="36"/>
      <c r="M179" s="36"/>
      <c r="N179" s="36"/>
      <c r="O179" s="78"/>
      <c r="P179" s="36"/>
    </row>
    <row r="180" spans="2:16" ht="12.95" customHeight="1" x14ac:dyDescent="0.25">
      <c r="B180" s="99"/>
      <c r="C180" s="99"/>
      <c r="D180" s="99"/>
      <c r="E180" s="100"/>
      <c r="F180" s="99"/>
      <c r="G180" s="99"/>
      <c r="H180" s="99"/>
      <c r="I180" s="99"/>
      <c r="J180" s="99"/>
      <c r="K180" s="99"/>
      <c r="L180" s="99"/>
      <c r="M180" s="99"/>
      <c r="N180" s="99"/>
      <c r="O180" s="99"/>
    </row>
    <row r="181" spans="2:16" ht="12.95" customHeight="1" x14ac:dyDescent="0.25">
      <c r="E181" s="102"/>
    </row>
    <row r="182" spans="2:16" ht="12.95" customHeight="1" x14ac:dyDescent="0.25">
      <c r="B182" s="103"/>
      <c r="C182" s="104"/>
      <c r="D182" s="104"/>
      <c r="E182" s="99"/>
      <c r="F182" s="104"/>
      <c r="G182" s="104"/>
      <c r="H182" s="104"/>
      <c r="I182" s="104"/>
      <c r="J182" s="104"/>
      <c r="K182" s="104"/>
      <c r="L182" s="104"/>
      <c r="M182" s="104"/>
      <c r="N182" s="104"/>
      <c r="O182" s="105"/>
    </row>
    <row r="183" spans="2:16" ht="12.95" customHeight="1" x14ac:dyDescent="0.25">
      <c r="E183" s="106"/>
    </row>
    <row r="184" spans="2:16" ht="12.95" customHeight="1" x14ac:dyDescent="0.25">
      <c r="B184" s="99"/>
      <c r="C184" s="99"/>
      <c r="D184" s="99"/>
      <c r="E184" s="107"/>
      <c r="F184" s="99"/>
      <c r="G184" s="99"/>
      <c r="H184" s="99"/>
      <c r="I184" s="99"/>
      <c r="J184" s="99"/>
      <c r="K184" s="99"/>
      <c r="L184" s="99"/>
      <c r="M184" s="99"/>
      <c r="N184" s="99"/>
      <c r="O184" s="99"/>
    </row>
    <row r="185" spans="2:16" ht="12.95" customHeight="1" x14ac:dyDescent="0.25">
      <c r="E185" s="106"/>
    </row>
    <row r="186" spans="2:16" ht="12.95" customHeight="1" x14ac:dyDescent="0.25">
      <c r="B186" s="99"/>
      <c r="C186" s="99"/>
      <c r="D186" s="99"/>
      <c r="E186" s="107"/>
      <c r="F186" s="99"/>
      <c r="G186" s="99"/>
      <c r="H186" s="99"/>
      <c r="I186" s="99"/>
      <c r="J186" s="99"/>
      <c r="K186" s="99"/>
      <c r="L186" s="99"/>
      <c r="M186" s="99"/>
      <c r="N186" s="99"/>
      <c r="O186" s="99"/>
    </row>
    <row r="187" spans="2:16" ht="12.95" customHeight="1" x14ac:dyDescent="0.25">
      <c r="E187" s="106"/>
    </row>
    <row r="188" spans="2:16" ht="12.95" customHeight="1" x14ac:dyDescent="0.25">
      <c r="B188" s="99"/>
      <c r="C188" s="99"/>
      <c r="D188" s="99"/>
      <c r="E188" s="107"/>
      <c r="F188" s="99"/>
      <c r="G188" s="99"/>
      <c r="H188" s="99"/>
      <c r="I188" s="99"/>
      <c r="J188" s="99"/>
      <c r="K188" s="99"/>
      <c r="L188" s="99"/>
      <c r="M188" s="99"/>
      <c r="N188" s="99"/>
      <c r="O188" s="99"/>
    </row>
    <row r="189" spans="2:16" ht="12.95" customHeight="1" x14ac:dyDescent="0.25">
      <c r="E189" s="102"/>
    </row>
    <row r="190" spans="2:16" ht="12.95" customHeight="1" x14ac:dyDescent="0.25">
      <c r="B190" s="99"/>
      <c r="C190" s="99"/>
      <c r="D190" s="99"/>
      <c r="E190" s="101"/>
      <c r="F190" s="99"/>
      <c r="G190" s="99"/>
      <c r="H190" s="99"/>
      <c r="I190" s="99"/>
      <c r="J190" s="99"/>
      <c r="K190" s="99"/>
      <c r="L190" s="99"/>
      <c r="M190" s="99"/>
      <c r="N190" s="99"/>
      <c r="O190" s="99"/>
    </row>
    <row r="191" spans="2:16" ht="12.95" customHeight="1" x14ac:dyDescent="0.25">
      <c r="E191" s="102"/>
    </row>
    <row r="192" spans="2:16" ht="12.95" customHeight="1" x14ac:dyDescent="0.25">
      <c r="B192" s="99"/>
      <c r="C192" s="99"/>
      <c r="D192" s="99"/>
      <c r="E192" s="101"/>
      <c r="F192" s="99"/>
      <c r="G192" s="99"/>
      <c r="H192" s="99"/>
      <c r="I192" s="99"/>
      <c r="J192" s="99"/>
      <c r="K192" s="99"/>
      <c r="L192" s="99"/>
      <c r="M192" s="99"/>
      <c r="N192" s="99"/>
      <c r="O192" s="99"/>
    </row>
    <row r="193" spans="2:16" ht="12.95" customHeight="1" x14ac:dyDescent="0.25">
      <c r="E193" s="102"/>
    </row>
    <row r="194" spans="2:16" ht="12.95" customHeight="1" x14ac:dyDescent="0.25">
      <c r="B194" s="99"/>
      <c r="C194" s="99"/>
      <c r="D194" s="99"/>
      <c r="E194" s="101"/>
      <c r="F194" s="99"/>
      <c r="G194" s="99"/>
      <c r="H194" s="99"/>
      <c r="I194" s="99"/>
      <c r="J194" s="99"/>
      <c r="K194" s="99"/>
      <c r="L194" s="99"/>
      <c r="M194" s="99"/>
      <c r="N194" s="99"/>
      <c r="O194" s="99"/>
    </row>
    <row r="195" spans="2:16" ht="12.95" customHeight="1" x14ac:dyDescent="0.25">
      <c r="E195" s="102"/>
    </row>
    <row r="196" spans="2:16" ht="12.95" customHeight="1" x14ac:dyDescent="0.25">
      <c r="B196" s="99"/>
      <c r="C196" s="99"/>
      <c r="D196" s="99"/>
      <c r="E196" s="99"/>
      <c r="F196" s="99"/>
      <c r="G196" s="99"/>
      <c r="H196" s="99"/>
      <c r="I196" s="99"/>
      <c r="J196" s="99"/>
      <c r="K196" s="99"/>
      <c r="L196" s="99"/>
      <c r="M196" s="99"/>
      <c r="N196" s="99"/>
      <c r="O196" s="99"/>
    </row>
    <row r="197" spans="2:16" ht="12.75" customHeight="1" x14ac:dyDescent="0.25">
      <c r="E197" s="102"/>
    </row>
    <row r="198" spans="2:16" ht="12.75" customHeight="1" x14ac:dyDescent="0.25">
      <c r="B198" s="99"/>
      <c r="C198" s="99"/>
      <c r="D198" s="99"/>
      <c r="E198" s="101"/>
      <c r="F198" s="99"/>
      <c r="G198" s="99"/>
      <c r="H198" s="99"/>
      <c r="I198" s="99"/>
      <c r="J198" s="99"/>
      <c r="K198" s="99"/>
      <c r="L198" s="99"/>
      <c r="M198" s="99"/>
      <c r="N198" s="99"/>
      <c r="O198" s="99"/>
    </row>
    <row r="199" spans="2:16" ht="12.95" customHeight="1" x14ac:dyDescent="0.25">
      <c r="E199" s="102"/>
      <c r="P199" s="37"/>
    </row>
    <row r="200" spans="2:16" ht="12.95" customHeight="1" x14ac:dyDescent="0.25">
      <c r="B200" s="99"/>
      <c r="C200" s="99"/>
      <c r="D200" s="99"/>
      <c r="E200" s="101"/>
      <c r="F200" s="99"/>
      <c r="G200" s="99"/>
      <c r="H200" s="99"/>
      <c r="I200" s="99"/>
      <c r="J200" s="99"/>
      <c r="K200" s="99"/>
      <c r="L200" s="99"/>
      <c r="M200" s="99"/>
      <c r="N200" s="99"/>
      <c r="O200" s="99"/>
      <c r="P200" s="37"/>
    </row>
    <row r="201" spans="2:16" ht="12.95" customHeight="1" x14ac:dyDescent="0.25">
      <c r="E201" s="102"/>
      <c r="P201" s="37"/>
    </row>
    <row r="202" spans="2:16" ht="12.95" customHeight="1" x14ac:dyDescent="0.25">
      <c r="B202" s="99"/>
      <c r="C202" s="99"/>
      <c r="D202" s="99"/>
      <c r="E202" s="101"/>
      <c r="F202" s="99"/>
      <c r="G202" s="99"/>
      <c r="H202" s="99"/>
      <c r="I202" s="99"/>
      <c r="J202" s="99"/>
      <c r="K202" s="99"/>
      <c r="L202" s="99"/>
      <c r="M202" s="99"/>
      <c r="N202" s="99"/>
      <c r="O202" s="99"/>
    </row>
    <row r="203" spans="2:16" ht="12.95" customHeight="1" x14ac:dyDescent="0.25">
      <c r="E203" s="102"/>
      <c r="P203" s="31"/>
    </row>
    <row r="204" spans="2:16" ht="12.95" customHeight="1" x14ac:dyDescent="0.25">
      <c r="B204" s="99"/>
      <c r="C204" s="99"/>
      <c r="D204" s="99"/>
      <c r="E204" s="99"/>
      <c r="F204" s="99"/>
      <c r="G204" s="99"/>
      <c r="H204" s="99"/>
      <c r="I204" s="99"/>
      <c r="J204" s="99"/>
      <c r="K204" s="99"/>
      <c r="L204" s="99"/>
      <c r="M204" s="99"/>
      <c r="N204" s="99"/>
      <c r="O204" s="99"/>
      <c r="P204" s="31"/>
    </row>
    <row r="205" spans="2:16" ht="12.75" customHeight="1" x14ac:dyDescent="0.25">
      <c r="P205" s="31"/>
    </row>
    <row r="206" spans="2:16" ht="12.75" customHeight="1" x14ac:dyDescent="0.25">
      <c r="B206" s="99"/>
      <c r="C206" s="99"/>
      <c r="D206" s="99"/>
      <c r="E206" s="99"/>
      <c r="F206" s="99"/>
      <c r="G206" s="99"/>
      <c r="H206" s="99"/>
      <c r="I206" s="99"/>
      <c r="J206" s="99"/>
      <c r="K206" s="99"/>
      <c r="L206" s="99"/>
      <c r="M206" s="99"/>
      <c r="N206" s="99"/>
      <c r="O206" s="99"/>
      <c r="P206" s="31"/>
    </row>
    <row r="207" spans="2:16" ht="12.75" customHeight="1" x14ac:dyDescent="0.25">
      <c r="B207" s="63"/>
      <c r="C207" s="63"/>
      <c r="D207" s="63"/>
      <c r="E207" s="63"/>
      <c r="F207" s="63"/>
      <c r="G207" s="63"/>
      <c r="H207" s="63"/>
      <c r="I207" s="63"/>
      <c r="J207" s="63"/>
      <c r="K207" s="63"/>
      <c r="L207" s="63"/>
      <c r="M207" s="63"/>
      <c r="N207" s="63"/>
      <c r="O207" s="63"/>
      <c r="P207" s="31"/>
    </row>
    <row r="208" spans="2:16" ht="12.75" customHeight="1" x14ac:dyDescent="0.25">
      <c r="B208" s="244"/>
      <c r="C208" s="244"/>
      <c r="D208" s="244"/>
      <c r="E208" s="244"/>
      <c r="F208" s="244"/>
      <c r="G208" s="244"/>
      <c r="H208" s="244"/>
      <c r="I208" s="244"/>
      <c r="J208" s="244"/>
      <c r="K208" s="244"/>
      <c r="L208" s="244"/>
      <c r="M208" s="244"/>
      <c r="N208" s="244"/>
      <c r="O208" s="244"/>
      <c r="P208" s="31"/>
    </row>
    <row r="209" spans="2:16" ht="12.75" customHeight="1" x14ac:dyDescent="0.25">
      <c r="B209" s="244"/>
      <c r="C209" s="244"/>
      <c r="D209" s="244"/>
      <c r="E209" s="244"/>
      <c r="F209" s="244"/>
      <c r="G209" s="244"/>
      <c r="H209" s="244"/>
      <c r="I209" s="244"/>
      <c r="J209" s="244"/>
      <c r="K209" s="244"/>
      <c r="L209" s="244"/>
      <c r="M209" s="244"/>
      <c r="N209" s="244"/>
      <c r="O209" s="244"/>
      <c r="P209" s="31"/>
    </row>
    <row r="210" spans="2:16" ht="12.75" customHeight="1" x14ac:dyDescent="0.25">
      <c r="B210" s="244"/>
      <c r="C210" s="244"/>
      <c r="D210" s="244"/>
      <c r="E210" s="244"/>
      <c r="F210" s="244"/>
      <c r="G210" s="244"/>
      <c r="H210" s="244"/>
      <c r="I210" s="244"/>
      <c r="J210" s="244"/>
      <c r="K210" s="244"/>
      <c r="L210" s="244"/>
      <c r="M210" s="244"/>
      <c r="N210" s="244"/>
      <c r="O210" s="244"/>
      <c r="P210" s="31"/>
    </row>
    <row r="211" spans="2:16" ht="12.75" customHeight="1" x14ac:dyDescent="0.25">
      <c r="B211" s="63"/>
      <c r="C211" s="63"/>
      <c r="D211" s="63"/>
      <c r="E211" s="63"/>
      <c r="F211" s="63"/>
      <c r="G211" s="63"/>
      <c r="H211" s="63"/>
      <c r="I211" s="63"/>
      <c r="J211" s="63"/>
      <c r="K211" s="63"/>
      <c r="L211" s="63"/>
      <c r="M211" s="63"/>
      <c r="N211" s="63"/>
      <c r="O211" s="63"/>
      <c r="P211" s="31"/>
    </row>
    <row r="212" spans="2:16" ht="18" customHeight="1" x14ac:dyDescent="0.25">
      <c r="B212" s="255"/>
      <c r="C212" s="255"/>
      <c r="D212" s="256"/>
      <c r="E212" s="256"/>
      <c r="F212" s="76"/>
      <c r="G212" s="257"/>
      <c r="H212" s="257"/>
      <c r="I212" s="257"/>
      <c r="J212" s="257"/>
      <c r="K212" s="257"/>
      <c r="L212" s="257"/>
      <c r="M212" s="257"/>
      <c r="N212" s="257"/>
      <c r="O212" s="257"/>
      <c r="P212" s="32"/>
    </row>
    <row r="213" spans="2:16" ht="18" customHeight="1" x14ac:dyDescent="0.25">
      <c r="B213" s="255"/>
      <c r="C213" s="255"/>
      <c r="D213" s="258"/>
      <c r="E213" s="258"/>
      <c r="F213" s="76"/>
      <c r="G213" s="259"/>
      <c r="H213" s="259"/>
      <c r="I213" s="259"/>
      <c r="J213" s="259"/>
      <c r="K213" s="259"/>
      <c r="L213" s="259"/>
      <c r="M213" s="259"/>
      <c r="N213" s="259"/>
      <c r="O213" s="259"/>
      <c r="P213" s="33"/>
    </row>
    <row r="214" spans="2:16" ht="23.85" customHeight="1" x14ac:dyDescent="0.25">
      <c r="B214" s="255"/>
      <c r="C214" s="255"/>
      <c r="D214" s="260"/>
      <c r="E214" s="260"/>
      <c r="F214" s="76"/>
      <c r="G214" s="260"/>
      <c r="H214" s="260"/>
      <c r="I214" s="260"/>
      <c r="J214" s="260"/>
      <c r="K214" s="260"/>
      <c r="L214" s="260"/>
      <c r="M214" s="260"/>
      <c r="N214" s="260"/>
      <c r="O214" s="260"/>
      <c r="P214" s="34"/>
    </row>
    <row r="215" spans="2:16" ht="17.25" customHeight="1" x14ac:dyDescent="0.25">
      <c r="B215" s="255"/>
      <c r="C215" s="255"/>
      <c r="D215" s="259"/>
      <c r="E215" s="259"/>
      <c r="F215" s="76"/>
      <c r="G215" s="255"/>
      <c r="H215" s="255"/>
      <c r="I215" s="255"/>
      <c r="J215" s="255"/>
      <c r="K215" s="255"/>
      <c r="L215" s="255"/>
      <c r="M215" s="255"/>
      <c r="N215" s="255"/>
      <c r="O215" s="255"/>
      <c r="P215" s="35"/>
    </row>
    <row r="216" spans="2:16" ht="18" customHeight="1" x14ac:dyDescent="0.25">
      <c r="B216" s="36"/>
      <c r="C216" s="36"/>
      <c r="D216" s="77"/>
      <c r="E216" s="36"/>
      <c r="F216" s="76"/>
      <c r="G216" s="36"/>
      <c r="H216" s="36"/>
      <c r="I216" s="36"/>
      <c r="J216" s="36"/>
      <c r="K216" s="36"/>
      <c r="L216" s="36"/>
      <c r="M216" s="36"/>
      <c r="N216" s="36"/>
      <c r="O216" s="78"/>
      <c r="P216" s="36"/>
    </row>
    <row r="217" spans="2:16" x14ac:dyDescent="0.25">
      <c r="P217" s="102"/>
    </row>
    <row r="218" spans="2:16" x14ac:dyDescent="0.25">
      <c r="P218" s="102"/>
    </row>
    <row r="219" spans="2:16" x14ac:dyDescent="0.25">
      <c r="P219" s="37"/>
    </row>
    <row r="220" spans="2:16" x14ac:dyDescent="0.25">
      <c r="P220" s="108"/>
    </row>
    <row r="221" spans="2:16" x14ac:dyDescent="0.25">
      <c r="P221" s="108"/>
    </row>
    <row r="222" spans="2:16" x14ac:dyDescent="0.25">
      <c r="P222" s="108"/>
    </row>
    <row r="223" spans="2:16" x14ac:dyDescent="0.25">
      <c r="P223" s="108"/>
    </row>
    <row r="224" spans="2:16" x14ac:dyDescent="0.25">
      <c r="P224" s="108"/>
    </row>
    <row r="225" spans="16:16" x14ac:dyDescent="0.25">
      <c r="P225" s="108"/>
    </row>
    <row r="226" spans="16:16" x14ac:dyDescent="0.25">
      <c r="P226" s="102"/>
    </row>
    <row r="227" spans="16:16" x14ac:dyDescent="0.25">
      <c r="P227" s="102"/>
    </row>
    <row r="228" spans="16:16" x14ac:dyDescent="0.25">
      <c r="P228" s="102"/>
    </row>
    <row r="229" spans="16:16" x14ac:dyDescent="0.25">
      <c r="P229" s="102"/>
    </row>
    <row r="230" spans="16:16" x14ac:dyDescent="0.25">
      <c r="P230" s="102"/>
    </row>
    <row r="231" spans="16:16" x14ac:dyDescent="0.25">
      <c r="P231" s="102"/>
    </row>
    <row r="232" spans="16:16" x14ac:dyDescent="0.25">
      <c r="P232" s="102"/>
    </row>
    <row r="233" spans="16:16" x14ac:dyDescent="0.25">
      <c r="P233" s="102"/>
    </row>
    <row r="234" spans="16:16" x14ac:dyDescent="0.25">
      <c r="P234" s="102"/>
    </row>
    <row r="235" spans="16:16" x14ac:dyDescent="0.25">
      <c r="P235" s="102"/>
    </row>
    <row r="236" spans="16:16" x14ac:dyDescent="0.25">
      <c r="P236" s="102"/>
    </row>
    <row r="241" spans="16:16" x14ac:dyDescent="0.25">
      <c r="P241" s="31"/>
    </row>
    <row r="242" spans="16:16" ht="0.75" customHeight="1" x14ac:dyDescent="0.25">
      <c r="P242" s="31"/>
    </row>
    <row r="243" spans="16:16" ht="5.25" customHeight="1" x14ac:dyDescent="0.25">
      <c r="P243" s="31"/>
    </row>
  </sheetData>
  <mergeCells count="81">
    <mergeCell ref="B2:C5"/>
    <mergeCell ref="D2:E2"/>
    <mergeCell ref="G2:O2"/>
    <mergeCell ref="D3:E3"/>
    <mergeCell ref="G3:O3"/>
    <mergeCell ref="D4:E4"/>
    <mergeCell ref="G4:O4"/>
    <mergeCell ref="D5:E5"/>
    <mergeCell ref="G5:O5"/>
    <mergeCell ref="B28:C29"/>
    <mergeCell ref="B20:C21"/>
    <mergeCell ref="D47:E47"/>
    <mergeCell ref="G47:O47"/>
    <mergeCell ref="B22:C23"/>
    <mergeCell ref="B24:C25"/>
    <mergeCell ref="B44:C47"/>
    <mergeCell ref="D44:E44"/>
    <mergeCell ref="G44:O44"/>
    <mergeCell ref="D45:E45"/>
    <mergeCell ref="G45:O45"/>
    <mergeCell ref="D46:E46"/>
    <mergeCell ref="G46:O46"/>
    <mergeCell ref="D78:E78"/>
    <mergeCell ref="G78:O78"/>
    <mergeCell ref="V12:X12"/>
    <mergeCell ref="V13:X13"/>
    <mergeCell ref="V14:X14"/>
    <mergeCell ref="D75:E75"/>
    <mergeCell ref="G75:O75"/>
    <mergeCell ref="D76:E76"/>
    <mergeCell ref="G76:O76"/>
    <mergeCell ref="D77:E77"/>
    <mergeCell ref="G77:O77"/>
    <mergeCell ref="B175:C178"/>
    <mergeCell ref="D178:E178"/>
    <mergeCell ref="B143:C146"/>
    <mergeCell ref="D143:E143"/>
    <mergeCell ref="G143:O143"/>
    <mergeCell ref="D144:E144"/>
    <mergeCell ref="G144:O144"/>
    <mergeCell ref="D145:E145"/>
    <mergeCell ref="G145:O145"/>
    <mergeCell ref="D146:E146"/>
    <mergeCell ref="G146:O146"/>
    <mergeCell ref="D175:E175"/>
    <mergeCell ref="G175:O175"/>
    <mergeCell ref="D176:E176"/>
    <mergeCell ref="G176:O176"/>
    <mergeCell ref="D177:E177"/>
    <mergeCell ref="G177:O177"/>
    <mergeCell ref="B9:C9"/>
    <mergeCell ref="B8:O8"/>
    <mergeCell ref="B18:C19"/>
    <mergeCell ref="D215:E215"/>
    <mergeCell ref="G215:O215"/>
    <mergeCell ref="C31:O31"/>
    <mergeCell ref="G178:O178"/>
    <mergeCell ref="B208:O210"/>
    <mergeCell ref="B212:C215"/>
    <mergeCell ref="D212:E212"/>
    <mergeCell ref="G212:O212"/>
    <mergeCell ref="D213:E213"/>
    <mergeCell ref="G213:O213"/>
    <mergeCell ref="D214:E214"/>
    <mergeCell ref="G214:O214"/>
    <mergeCell ref="B171:O173"/>
    <mergeCell ref="B26:C27"/>
    <mergeCell ref="B10:C11"/>
    <mergeCell ref="B12:C13"/>
    <mergeCell ref="B14:C15"/>
    <mergeCell ref="B16:C17"/>
    <mergeCell ref="B108:C111"/>
    <mergeCell ref="D108:E108"/>
    <mergeCell ref="G108:O108"/>
    <mergeCell ref="D109:E109"/>
    <mergeCell ref="G109:O109"/>
    <mergeCell ref="D110:E110"/>
    <mergeCell ref="G110:O110"/>
    <mergeCell ref="D111:E111"/>
    <mergeCell ref="G111:O111"/>
    <mergeCell ref="B75:C78"/>
  </mergeCells>
  <pageMargins left="0.19685039370078741" right="0.19685039370078741" top="0.74803149606299213" bottom="0.74803149606299213" header="0.31496062992125984" footer="0.31496062992125984"/>
  <pageSetup paperSize="9" scale="79" orientation="landscape" r:id="rId1"/>
  <headerFooter>
    <oddFooter>&amp;R
&amp;P</oddFooter>
  </headerFooter>
  <rowBreaks count="3" manualBreakCount="3">
    <brk id="42" max="16383" man="1"/>
    <brk id="73" max="16383" man="1"/>
    <brk id="10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A3" sqref="A3:I4"/>
    </sheetView>
  </sheetViews>
  <sheetFormatPr defaultRowHeight="15" x14ac:dyDescent="0.25"/>
  <cols>
    <col min="1" max="1" width="18.85546875" customWidth="1"/>
    <col min="2" max="2" width="7.28515625" customWidth="1"/>
    <col min="3" max="3" width="22.85546875" customWidth="1"/>
    <col min="4" max="4" width="34.5703125" customWidth="1"/>
    <col min="5" max="5" width="9.7109375" customWidth="1"/>
    <col min="9" max="9" width="14" customWidth="1"/>
  </cols>
  <sheetData>
    <row r="1" spans="1:9" ht="38.25" customHeight="1" x14ac:dyDescent="0.25">
      <c r="A1" s="117"/>
      <c r="B1" s="118"/>
      <c r="C1" s="280" t="str">
        <f>Cronograma!D3</f>
        <v>E-mail: cmcfundo@gmail.com – CNPJ 02.347.381/0001-05</v>
      </c>
      <c r="D1" s="281"/>
      <c r="E1" s="282" t="s">
        <v>74</v>
      </c>
      <c r="F1" s="283"/>
      <c r="G1" s="283"/>
      <c r="H1" s="283"/>
      <c r="I1" s="284"/>
    </row>
    <row r="2" spans="1:9" ht="43.5" customHeight="1" thickBot="1" x14ac:dyDescent="0.3">
      <c r="A2" s="109"/>
      <c r="B2" s="119"/>
      <c r="C2" s="318" t="str">
        <f>Cronograma!D4</f>
        <v xml:space="preserve">Tel: (037) 3322-9122 - Rua Galeno Silva, nº 146– Centro – CEP 35.578-000 </v>
      </c>
      <c r="D2" s="319"/>
      <c r="E2" s="285" t="s">
        <v>73</v>
      </c>
      <c r="F2" s="286"/>
      <c r="G2" s="286"/>
      <c r="H2" s="286"/>
      <c r="I2" s="287"/>
    </row>
    <row r="3" spans="1:9" ht="16.5" customHeight="1" x14ac:dyDescent="0.25">
      <c r="A3" s="290" t="s">
        <v>52</v>
      </c>
      <c r="B3" s="291"/>
      <c r="C3" s="291"/>
      <c r="D3" s="291"/>
      <c r="E3" s="291"/>
      <c r="F3" s="291"/>
      <c r="G3" s="291"/>
      <c r="H3" s="291"/>
      <c r="I3" s="292"/>
    </row>
    <row r="4" spans="1:9" ht="51.75" customHeight="1" thickBot="1" x14ac:dyDescent="0.3">
      <c r="A4" s="293"/>
      <c r="B4" s="294"/>
      <c r="C4" s="294"/>
      <c r="D4" s="294"/>
      <c r="E4" s="294"/>
      <c r="F4" s="294"/>
      <c r="G4" s="294"/>
      <c r="H4" s="294"/>
      <c r="I4" s="295"/>
    </row>
    <row r="5" spans="1:9" x14ac:dyDescent="0.25">
      <c r="A5" s="296" t="s">
        <v>53</v>
      </c>
      <c r="B5" s="297"/>
      <c r="C5" s="297"/>
      <c r="D5" s="300" t="s">
        <v>54</v>
      </c>
      <c r="E5" s="301"/>
      <c r="F5" s="302"/>
      <c r="G5" s="303"/>
      <c r="H5" s="110" t="s">
        <v>55</v>
      </c>
      <c r="I5" s="111">
        <v>0</v>
      </c>
    </row>
    <row r="6" spans="1:9" ht="15.75" thickBot="1" x14ac:dyDescent="0.3">
      <c r="A6" s="298"/>
      <c r="B6" s="299"/>
      <c r="C6" s="299"/>
      <c r="D6" s="304" t="s">
        <v>56</v>
      </c>
      <c r="E6" s="305"/>
      <c r="F6" s="306"/>
      <c r="G6" s="307"/>
      <c r="H6" s="112" t="s">
        <v>57</v>
      </c>
      <c r="I6" s="116">
        <f>ROUND(IF(H6="s",((1+D10+D7+D8)*(1+D9)*((1+D11)/(1-D13-D12)))-1,0),4)</f>
        <v>0.24529999999999999</v>
      </c>
    </row>
    <row r="7" spans="1:9" x14ac:dyDescent="0.25">
      <c r="A7" s="59" t="s">
        <v>58</v>
      </c>
      <c r="B7" s="288" t="s">
        <v>68</v>
      </c>
      <c r="C7" s="289"/>
      <c r="D7" s="308">
        <v>8.9999999999999993E-3</v>
      </c>
      <c r="E7" s="309"/>
      <c r="F7" s="310" t="s">
        <v>59</v>
      </c>
      <c r="G7" s="310"/>
      <c r="H7" s="310"/>
      <c r="I7" s="311"/>
    </row>
    <row r="8" spans="1:9" x14ac:dyDescent="0.25">
      <c r="A8" s="2" t="s">
        <v>60</v>
      </c>
      <c r="B8" s="288" t="s">
        <v>69</v>
      </c>
      <c r="C8" s="289"/>
      <c r="D8" s="320">
        <v>0.01</v>
      </c>
      <c r="E8" s="321"/>
      <c r="F8" s="312"/>
      <c r="G8" s="312"/>
      <c r="H8" s="312"/>
      <c r="I8" s="313"/>
    </row>
    <row r="9" spans="1:9" x14ac:dyDescent="0.25">
      <c r="A9" s="113" t="s">
        <v>61</v>
      </c>
      <c r="B9" s="288" t="s">
        <v>70</v>
      </c>
      <c r="C9" s="289"/>
      <c r="D9" s="320">
        <v>1.03E-2</v>
      </c>
      <c r="E9" s="321"/>
      <c r="F9" s="312"/>
      <c r="G9" s="312"/>
      <c r="H9" s="312"/>
      <c r="I9" s="313"/>
    </row>
    <row r="10" spans="1:9" x14ac:dyDescent="0.25">
      <c r="A10" s="2" t="s">
        <v>62</v>
      </c>
      <c r="B10" s="288" t="s">
        <v>67</v>
      </c>
      <c r="C10" s="289"/>
      <c r="D10" s="320">
        <v>3.5000000000000003E-2</v>
      </c>
      <c r="E10" s="321"/>
      <c r="F10" s="312"/>
      <c r="G10" s="312"/>
      <c r="H10" s="312"/>
      <c r="I10" s="313"/>
    </row>
    <row r="11" spans="1:9" x14ac:dyDescent="0.25">
      <c r="A11" s="2" t="s">
        <v>63</v>
      </c>
      <c r="B11" s="288" t="s">
        <v>71</v>
      </c>
      <c r="C11" s="289"/>
      <c r="D11" s="320">
        <v>0.08</v>
      </c>
      <c r="E11" s="321"/>
      <c r="F11" s="312"/>
      <c r="G11" s="312"/>
      <c r="H11" s="312"/>
      <c r="I11" s="313"/>
    </row>
    <row r="12" spans="1:9" x14ac:dyDescent="0.25">
      <c r="A12" s="2" t="s">
        <v>64</v>
      </c>
      <c r="B12" s="288">
        <v>0.02</v>
      </c>
      <c r="C12" s="289"/>
      <c r="D12" s="320">
        <v>0.02</v>
      </c>
      <c r="E12" s="321"/>
      <c r="F12" s="312"/>
      <c r="G12" s="312"/>
      <c r="H12" s="312"/>
      <c r="I12" s="313"/>
    </row>
    <row r="13" spans="1:9" ht="15.75" thickBot="1" x14ac:dyDescent="0.3">
      <c r="A13" s="45" t="s">
        <v>65</v>
      </c>
      <c r="B13" s="322">
        <v>5.6500000000000002E-2</v>
      </c>
      <c r="C13" s="323"/>
      <c r="D13" s="316">
        <v>5.6500000000000002E-2</v>
      </c>
      <c r="E13" s="317"/>
      <c r="F13" s="314"/>
      <c r="G13" s="314"/>
      <c r="H13" s="314"/>
      <c r="I13" s="315"/>
    </row>
    <row r="17" spans="1:9" x14ac:dyDescent="0.25">
      <c r="A17" s="115" t="str">
        <f>Cronograma!C31</f>
        <v>Nome legível do responsável técnico pela elaboração da planilha Bruna Luiza Silveira Arquiteta e Urbanista CAU A272685-8</v>
      </c>
    </row>
    <row r="18" spans="1:9" x14ac:dyDescent="0.25">
      <c r="A18" s="115"/>
    </row>
    <row r="19" spans="1:9" x14ac:dyDescent="0.25">
      <c r="A19" s="114"/>
    </row>
    <row r="20" spans="1:9" x14ac:dyDescent="0.25">
      <c r="A20" s="115" t="str">
        <f>Cronograma!C34</f>
        <v>Assinatura do Responsável Técnico: ______________________________________________ Local e Data:  Córrego Fundo  20  Novembro  2022</v>
      </c>
    </row>
    <row r="21" spans="1:9" x14ac:dyDescent="0.25">
      <c r="I21" t="s">
        <v>66</v>
      </c>
    </row>
  </sheetData>
  <mergeCells count="23">
    <mergeCell ref="D10:E10"/>
    <mergeCell ref="D11:E11"/>
    <mergeCell ref="D12:E12"/>
    <mergeCell ref="B13:C13"/>
    <mergeCell ref="B10:C10"/>
    <mergeCell ref="B11:C11"/>
    <mergeCell ref="B12:C12"/>
    <mergeCell ref="C1:D1"/>
    <mergeCell ref="E1:I1"/>
    <mergeCell ref="E2:I2"/>
    <mergeCell ref="B8:C8"/>
    <mergeCell ref="B9:C9"/>
    <mergeCell ref="A3:I4"/>
    <mergeCell ref="A5:C6"/>
    <mergeCell ref="D5:G5"/>
    <mergeCell ref="D6:G6"/>
    <mergeCell ref="D7:E7"/>
    <mergeCell ref="B7:C7"/>
    <mergeCell ref="F7:I13"/>
    <mergeCell ref="D13:E13"/>
    <mergeCell ref="C2:D2"/>
    <mergeCell ref="D8:E8"/>
    <mergeCell ref="D9:E9"/>
  </mergeCells>
  <pageMargins left="0.19685039370078741" right="0.19685039370078741" top="0.78740157480314965" bottom="0.78740157480314965" header="0.31496062992125984" footer="0.31496062992125984"/>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topLeftCell="A13" workbookViewId="0">
      <selection activeCell="J15" sqref="J15"/>
    </sheetView>
  </sheetViews>
  <sheetFormatPr defaultRowHeight="15" x14ac:dyDescent="0.25"/>
  <cols>
    <col min="1" max="1" width="36.5703125" style="138" customWidth="1"/>
    <col min="5" max="5" width="15" customWidth="1"/>
    <col min="6" max="6" width="13.7109375" customWidth="1"/>
  </cols>
  <sheetData>
    <row r="3" spans="1:6" x14ac:dyDescent="0.25">
      <c r="A3" s="324" t="s">
        <v>262</v>
      </c>
      <c r="B3" s="325"/>
      <c r="C3" s="325"/>
      <c r="D3" s="325"/>
      <c r="E3" s="325"/>
      <c r="F3" s="325"/>
    </row>
    <row r="4" spans="1:6" ht="30" x14ac:dyDescent="0.25">
      <c r="A4" s="141" t="s">
        <v>130</v>
      </c>
      <c r="B4" s="140" t="s">
        <v>12</v>
      </c>
      <c r="C4" s="140" t="s">
        <v>125</v>
      </c>
      <c r="D4" s="140" t="s">
        <v>126</v>
      </c>
      <c r="E4" s="1" t="s">
        <v>127</v>
      </c>
      <c r="F4" s="1" t="s">
        <v>128</v>
      </c>
    </row>
    <row r="5" spans="1:6" ht="60" x14ac:dyDescent="0.25">
      <c r="A5" s="142" t="s">
        <v>410</v>
      </c>
      <c r="B5" s="141" t="s">
        <v>263</v>
      </c>
      <c r="C5" s="1" t="s">
        <v>102</v>
      </c>
      <c r="D5" s="146">
        <v>1</v>
      </c>
      <c r="E5" s="1">
        <v>420</v>
      </c>
      <c r="F5" s="147">
        <f>D5*E5</f>
        <v>420</v>
      </c>
    </row>
    <row r="6" spans="1:6" ht="105" x14ac:dyDescent="0.25">
      <c r="A6" s="141" t="s">
        <v>264</v>
      </c>
      <c r="B6" s="140" t="s">
        <v>265</v>
      </c>
      <c r="C6" s="1" t="s">
        <v>19</v>
      </c>
      <c r="D6" s="146">
        <v>1.71</v>
      </c>
      <c r="E6" s="1">
        <v>8.14</v>
      </c>
      <c r="F6" s="147">
        <f>D6*E6</f>
        <v>13.919400000000001</v>
      </c>
    </row>
    <row r="7" spans="1:6" x14ac:dyDescent="0.25">
      <c r="A7" s="141"/>
      <c r="B7" s="12"/>
      <c r="C7" s="1"/>
      <c r="D7" s="146"/>
      <c r="E7" s="1"/>
      <c r="F7" s="147"/>
    </row>
    <row r="8" spans="1:6" x14ac:dyDescent="0.25">
      <c r="A8" s="141"/>
      <c r="B8" s="140"/>
      <c r="C8" s="1"/>
      <c r="D8" s="146"/>
      <c r="E8" s="1"/>
      <c r="F8" s="147"/>
    </row>
    <row r="9" spans="1:6" x14ac:dyDescent="0.25">
      <c r="A9" s="143"/>
      <c r="B9" s="145"/>
      <c r="C9" s="145"/>
      <c r="D9" s="145"/>
      <c r="E9" s="1" t="s">
        <v>129</v>
      </c>
      <c r="F9" s="147">
        <f>SUM(F5:F8)</f>
        <v>433.9194</v>
      </c>
    </row>
    <row r="10" spans="1:6" x14ac:dyDescent="0.25">
      <c r="A10" s="143"/>
      <c r="B10" s="145"/>
      <c r="C10" s="145"/>
      <c r="D10" s="145"/>
      <c r="E10" s="145"/>
      <c r="F10" s="145"/>
    </row>
    <row r="11" spans="1:6" ht="30" x14ac:dyDescent="0.25">
      <c r="A11" s="1" t="s">
        <v>131</v>
      </c>
      <c r="B11" s="150" t="s">
        <v>12</v>
      </c>
      <c r="C11" s="140" t="s">
        <v>125</v>
      </c>
      <c r="D11" s="140" t="s">
        <v>126</v>
      </c>
      <c r="E11" s="140" t="s">
        <v>127</v>
      </c>
      <c r="F11" s="140" t="s">
        <v>128</v>
      </c>
    </row>
    <row r="12" spans="1:6" ht="30" x14ac:dyDescent="0.25">
      <c r="A12" s="140" t="s">
        <v>267</v>
      </c>
      <c r="B12" t="s">
        <v>266</v>
      </c>
      <c r="C12" s="1" t="s">
        <v>93</v>
      </c>
      <c r="D12" s="1">
        <v>8.0000000000000002E-3</v>
      </c>
      <c r="E12" s="1">
        <v>519.66</v>
      </c>
      <c r="F12" s="147">
        <f>D12*E12</f>
        <v>4.1572800000000001</v>
      </c>
    </row>
    <row r="13" spans="1:6" x14ac:dyDescent="0.25">
      <c r="A13" s="141"/>
      <c r="B13" s="144"/>
      <c r="C13" s="1"/>
      <c r="D13" s="1"/>
      <c r="E13" s="1"/>
      <c r="F13" s="147"/>
    </row>
    <row r="14" spans="1:6" x14ac:dyDescent="0.25">
      <c r="A14" s="141"/>
      <c r="B14" s="1"/>
      <c r="C14" s="1"/>
      <c r="D14" s="1"/>
      <c r="E14" s="1"/>
      <c r="F14" s="147"/>
    </row>
    <row r="15" spans="1:6" ht="30" x14ac:dyDescent="0.25">
      <c r="A15" s="141" t="s">
        <v>136</v>
      </c>
      <c r="B15" s="1" t="s">
        <v>133</v>
      </c>
      <c r="C15" s="1" t="s">
        <v>132</v>
      </c>
      <c r="D15" s="1">
        <v>2.5</v>
      </c>
      <c r="E15" s="1">
        <v>22.37</v>
      </c>
      <c r="F15" s="147">
        <f t="shared" ref="F15:F16" si="0">D15*E15</f>
        <v>55.925000000000004</v>
      </c>
    </row>
    <row r="16" spans="1:6" ht="30" x14ac:dyDescent="0.25">
      <c r="A16" s="141" t="s">
        <v>135</v>
      </c>
      <c r="B16" s="1" t="s">
        <v>134</v>
      </c>
      <c r="C16" s="1" t="s">
        <v>132</v>
      </c>
      <c r="D16" s="1">
        <v>2.5</v>
      </c>
      <c r="E16" s="1">
        <v>16.21</v>
      </c>
      <c r="F16" s="147">
        <f t="shared" si="0"/>
        <v>40.525000000000006</v>
      </c>
    </row>
    <row r="17" spans="1:6" x14ac:dyDescent="0.25">
      <c r="A17" s="148"/>
      <c r="B17" s="149"/>
      <c r="C17" s="149"/>
      <c r="D17" s="149"/>
      <c r="E17" s="1" t="s">
        <v>129</v>
      </c>
      <c r="F17" s="147">
        <f>SUM(F12:F16)</f>
        <v>100.60728</v>
      </c>
    </row>
    <row r="19" spans="1:6" x14ac:dyDescent="0.25">
      <c r="B19" s="239" t="s">
        <v>137</v>
      </c>
      <c r="C19" s="239"/>
      <c r="D19" s="239"/>
      <c r="E19" s="239"/>
      <c r="F19" s="151">
        <f>F17+F9</f>
        <v>534.52667999999994</v>
      </c>
    </row>
    <row r="21" spans="1:6" ht="30.75" customHeight="1" x14ac:dyDescent="0.25">
      <c r="A21" s="326"/>
      <c r="B21" s="327"/>
      <c r="C21" s="327"/>
      <c r="D21" s="327"/>
      <c r="E21" s="327"/>
      <c r="F21" s="327"/>
    </row>
    <row r="22" spans="1:6" x14ac:dyDescent="0.25">
      <c r="B22" s="239"/>
      <c r="C22" s="239"/>
      <c r="D22" s="239"/>
      <c r="E22" s="239"/>
      <c r="F22" s="151"/>
    </row>
  </sheetData>
  <mergeCells count="4">
    <mergeCell ref="B22:E22"/>
    <mergeCell ref="A3:F3"/>
    <mergeCell ref="B19:E19"/>
    <mergeCell ref="A21:F2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Planilha Orçamentaria (2)</vt:lpstr>
      <vt:lpstr>Memoria de Calculo</vt:lpstr>
      <vt:lpstr>Cronograma</vt:lpstr>
      <vt:lpstr>BDI</vt:lpstr>
      <vt:lpstr>Composição</vt:lpstr>
      <vt:lpstr>Cronograma!Area_de_impressao</vt:lpstr>
      <vt:lpstr>'Memoria de Calculo'!Area_de_impressao</vt:lpstr>
      <vt:lpstr>'Planilha Orçamentaria (2)'!Area_de_impressao</vt:lpstr>
      <vt:lpstr>'Memoria de Calculo'!Titulos_de_impressao</vt:lpstr>
      <vt:lpstr>'Planilha Orçamentaria (2)'!Titulos_de_impressao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Tulio</dc:creator>
  <cp:lastModifiedBy>Camara Municipal</cp:lastModifiedBy>
  <cp:lastPrinted>2022-12-01T16:29:57Z</cp:lastPrinted>
  <dcterms:created xsi:type="dcterms:W3CDTF">2021-11-05T12:00:59Z</dcterms:created>
  <dcterms:modified xsi:type="dcterms:W3CDTF">2022-12-01T17:04:26Z</dcterms:modified>
</cp:coreProperties>
</file>